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Blumenau" sheetId="4" state="visible" r:id="rId6"/>
    <sheet name="Desl. Base Blumenau" sheetId="5" state="visible" r:id="rId7"/>
    <sheet name="Base Joinville" sheetId="6" state="visible" r:id="rId8"/>
    <sheet name="Desl. Base Joinville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3" name="_xlnm.Print_Area" vbProcedure="false">'Base Blumenau'!$B$2:$AW$22</definedName>
    <definedName function="false" hidden="false" localSheetId="5" name="_xlnm.Print_Area" vbProcedure="false">'Base Joinville'!$B$2:$AW$23</definedName>
    <definedName function="false" hidden="false" localSheetId="13" name="_xlnm.Print_Area" vbProcedure="false">BDI!$B$1:$J$44</definedName>
    <definedName function="false" hidden="false" localSheetId="4" name="_xlnm.Print_Area" vbProcedure="false">'Desl. Base Blumenau'!$B$2:$M$31</definedName>
    <definedName function="false" hidden="false" localSheetId="6" name="_xlnm.Print_Area" vbProcedure="false">'Desl. Base Joinville'!$B$2:$M$57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Unidades!$B$2:$H$15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<sst xmlns="http://schemas.openxmlformats.org/spreadsheetml/2006/main" count="787" uniqueCount="313">
  <si>
    <t xml:space="preserve">ANEXO I – B1</t>
  </si>
  <si>
    <t xml:space="preserve">PLANILHA DETALHADA DE FORMAÇÃO DE PREÇO</t>
  </si>
  <si>
    <t xml:space="preserve">POLO IV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</si>
  <si>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</si>
  <si>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</si>
  <si>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</si>
  <si>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</si>
  <si>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</si>
  <si>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</si>
  <si>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</si>
  <si>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IV.</t>
  </si>
  <si>
    <t xml:space="preserve">Mês</t>
  </si>
  <si>
    <t xml:space="preserve">VALOR TOTAL DO ITEM 1: R$ 2.589.229,68 (Dois milhões quinhentos e oitenta e nove mil duzentos e vinte e nove reais e sessenta e oito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</si>
  <si>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</si>
  <si>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</si>
  <si>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</si>
  <si>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</si>
  <si>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</si>
  <si>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</si>
  <si>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</si>
  <si>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</si>
  <si>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BLUMENAU</t>
  </si>
  <si>
    <t xml:space="preserve">JOINVILLE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</si>
  <si>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</si>
  <si>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</si>
  <si>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</si>
  <si>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</si>
  <si>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</si>
  <si>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</si>
  <si>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</si>
  <si>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</si>
  <si>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</si>
  <si>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</si>
  <si>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</si>
  <si>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</si>
  <si>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</si>
  <si>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</si>
  <si>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</si>
  <si>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</si>
  <si>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</si>
  <si>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</si>
  <si>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</si>
  <si>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</si>
  <si>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</si>
  <si>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</si>
  <si>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</si>
  <si>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</si>
  <si>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</si>
  <si>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</si>
  <si>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</si>
  <si>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</si>
  <si>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</si>
  <si>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</si>
  <si>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</si>
  <si>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</si>
  <si>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</si>
  <si>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</si>
  <si>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</si>
  <si>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</si>
  <si>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</si>
  <si>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</si>
  <si>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</si>
  <si>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</si>
  <si>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</si>
  <si>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</si>
  <si>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</si>
  <si>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</si>
  <si>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</si>
  <si>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</si>
  <si>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</si>
  <si>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</si>
  <si>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</si>
  <si>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</si>
  <si>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</si>
  <si>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</si>
  <si>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</si>
  <si>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</si>
  <si>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</si>
  <si>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</si>
  <si>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</si>
  <si>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</si>
  <si>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BALNEÁRIO CAMBORIÚ</t>
  </si>
  <si>
    <t xml:space="preserve">Custo por tipo de rotina</t>
  </si>
  <si>
    <t xml:space="preserve">APS BRUSQUE</t>
  </si>
  <si>
    <t xml:space="preserve">Custo Anual por tipo de rotina</t>
  </si>
  <si>
    <t xml:space="preserve">APS IBIRAMA</t>
  </si>
  <si>
    <t xml:space="preserve">APS INDAIAL</t>
  </si>
  <si>
    <t xml:space="preserve">APS ITAJAÍ</t>
  </si>
  <si>
    <t xml:space="preserve">Custo Anual Preventiva</t>
  </si>
  <si>
    <t xml:space="preserve">APS PENHA</t>
  </si>
  <si>
    <t xml:space="preserve">APS POMERODE</t>
  </si>
  <si>
    <t xml:space="preserve">Custo Anual Corretiva</t>
  </si>
  <si>
    <t xml:space="preserve">APS RIO DO SUL</t>
  </si>
  <si>
    <t xml:space="preserve">Custo Médio Mensal Manutenção</t>
  </si>
  <si>
    <t xml:space="preserve">APS TIMBÓ</t>
  </si>
  <si>
    <t xml:space="preserve">Custo Anual Manutenção</t>
  </si>
  <si>
    <t xml:space="preserve">CEDOCPREV BLUMENAU</t>
  </si>
  <si>
    <t xml:space="preserve">GEX/APS BLUMENAU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</si>
  <si>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</si>
  <si>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</si>
  <si>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</si>
  <si>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</si>
  <si>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</si>
  <si>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</si>
  <si>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</si>
  <si>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</si>
  <si>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</si>
  <si>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</si>
  <si>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</si>
  <si>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</si>
  <si>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</si>
  <si>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</si>
  <si>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</si>
  <si>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</si>
  <si>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</si>
  <si>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</si>
  <si>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</si>
  <si>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</si>
  <si>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</si>
  <si>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</si>
  <si>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</si>
  <si>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</si>
  <si>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</si>
  <si>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</si>
  <si>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</si>
  <si>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</si>
  <si>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</si>
  <si>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</si>
  <si>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</si>
  <si>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</si>
  <si>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</si>
  <si>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APS CANOINHAS</t>
  </si>
  <si>
    <t xml:space="preserve">APS GUARAMIRIM</t>
  </si>
  <si>
    <t xml:space="preserve">APS JARAGUÁ DO SUL</t>
  </si>
  <si>
    <t xml:space="preserve">APS MAFRA</t>
  </si>
  <si>
    <t xml:space="preserve">APS RIO NEGRO</t>
  </si>
  <si>
    <t xml:space="preserve">APS SÃO BENTO DO SUL</t>
  </si>
  <si>
    <t xml:space="preserve">APS SÃO FRANCISCO DO SUL</t>
  </si>
  <si>
    <t xml:space="preserve">GEX/APS JOINVILLE</t>
  </si>
  <si>
    <t xml:space="preserve">DEPÓSITO JOINVILLE - GUANABARA</t>
  </si>
  <si>
    <t xml:space="preserve">Pedágio (ida e volta)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</si>
  <si>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</si>
  <si>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</si>
  <si>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</si>
  <si>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</si>
  <si>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Dezembro/2024.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</si>
  <si>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</si>
  <si>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</si>
  <si>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</si>
  <si>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</si>
  <si>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</si>
  <si>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</si>
  <si>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</si>
  <si>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</si>
  <si>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</si>
  <si>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</si>
  <si>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</si>
  <si>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 Desonerado</t>
  </si>
  <si>
    <t xml:space="preserve">codigo</t>
  </si>
  <si>
    <t xml:space="preserve">Valor Unitário Desonerado</t>
  </si>
  <si>
    <t xml:space="preserve">Coeficiente</t>
  </si>
  <si>
    <t xml:space="preserve">Valor Desonerado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</si>
  <si>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</si>
  <si>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</si>
  <si>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</si>
  <si>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</si>
  <si>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</si>
  <si>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</si>
  <si>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</si>
  <si>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</si>
  <si>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</si>
  <si>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</si>
  <si>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</si>
  <si>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</si>
  <si>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</si>
  <si>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</si>
  <si>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</si>
  <si>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</si>
  <si>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</si>
  <si>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</si>
  <si>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</si>
  <si>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</si>
  <si>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</si>
  <si>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</si>
  <si>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</si>
  <si>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</si>
  <si>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</si>
  <si>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</si>
  <si>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</si>
  <si>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</si>
  <si>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</si>
  <si>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</si>
  <si>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</si>
  <si>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</si>
  <si>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</si>
  <si>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</si>
  <si>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</si>
  <si>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</si>
  <si>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</si>
  <si>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</si>
  <si>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</si>
  <si>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</si>
  <si>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</si>
  <si>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</si>
  <si>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</si>
  <si>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</si>
  <si>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</si>
  <si>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</si>
  <si>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</si>
  <si>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</si>
  <si>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</si>
  <si>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</si>
  <si>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</si>
  <si>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</si>
  <si>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Profissional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</si>
  <si>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</si>
  <si>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SC001367/2024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</si>
  <si>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</si>
  <si>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</si>
  <si>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</si>
  <si>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</si>
  <si>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</si>
  <si>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</si>
  <si>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</si>
  <si>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</si>
  <si>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</si>
  <si>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</si>
  <si>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</si>
  <si>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</si>
  <si>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</si>
  <si>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</si>
  <si>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</si>
  <si>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</si>
  <si>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</si>
  <si>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</si>
  <si>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</si>
  <si>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 2024/2025)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</si>
  <si>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</si>
  <si>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</si>
  <si>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</si>
  <si>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</si>
  <si>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</si>
  <si>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</si>
  <si>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</si>
  <si>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</si>
  <si>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</si>
  <si>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</si>
  <si>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</si>
  <si>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</si>
  <si>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</si>
  <si>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</si>
  <si>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</si>
  <si>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</si>
  <si>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Av. do Estado Dalmo Vieira, 3660</t>
  </si>
  <si>
    <t xml:space="preserve">SIM</t>
  </si>
  <si>
    <t xml:space="preserve">NÃO</t>
  </si>
  <si>
    <t xml:space="preserve">Rua Barão do Rio Branco, 206, Centro</t>
  </si>
  <si>
    <t xml:space="preserve">Rua XV de Novembro, 459, Centro</t>
  </si>
  <si>
    <t xml:space="preserve">Rua Marechal Floriano Peixoto, 444, Centro</t>
  </si>
  <si>
    <t xml:space="preserve">R. Doutor José Bonifácio Malburg, 195, Centro</t>
  </si>
  <si>
    <t xml:space="preserve">Rua João Veríssimo da Silva – SN, Centro</t>
  </si>
  <si>
    <t xml:space="preserve">Rua Arthur Reinert, 11, Centro</t>
  </si>
  <si>
    <t xml:space="preserve">Av. 7 de Setembro, 352, Jardim América</t>
  </si>
  <si>
    <t xml:space="preserve">Rua Benjamin Constant, 29, Centro</t>
  </si>
  <si>
    <t xml:space="preserve">Rua João Pessoa, 200, Velha</t>
  </si>
  <si>
    <t xml:space="preserve">Rua Floriano Peixoto, n°126, Centro</t>
  </si>
  <si>
    <t xml:space="preserve">Rua Vidal Ramos, 780, Centro</t>
  </si>
  <si>
    <t xml:space="preserve">Rua Nelson Luiz Rosa de Bem, 90, Centro</t>
  </si>
  <si>
    <t xml:space="preserve">Av. Getúlio Vargas, 500, Centro</t>
  </si>
  <si>
    <t xml:space="preserve">Rua Doutor Mathias Pienchnick, 37, Centro</t>
  </si>
  <si>
    <t xml:space="preserve">Rua Brasílio Celestino de Oliveira, 30</t>
  </si>
  <si>
    <t xml:space="preserve">Rua Capitão Ernesto Nunes, 89, Centro</t>
  </si>
  <si>
    <t xml:space="preserve">Praça da Bandeira, 20, Centro Histórico</t>
  </si>
  <si>
    <t xml:space="preserve">Rua Nove de Março, 241, Centro</t>
  </si>
  <si>
    <t xml:space="preserve">Rua Graciosa, 380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</si>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</sst>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#,##0.00"/>
    <numFmt numFmtId="170" formatCode="General"/>
    <numFmt numFmtId="171" formatCode="0.00"/>
    <numFmt numFmtId="172" formatCode="0.0000%"/>
    <numFmt numFmtId="173" formatCode="#,##0.00\ ;[RED]\(#,##0.00\)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0.0"/>
    <numFmt numFmtId="180" formatCode="&quot;R$ &quot;#,##0.00"/>
    <numFmt numFmtId="181" formatCode="d/m/yyyy"/>
    <numFmt numFmtId="182" formatCode="&quot;R$ &quot;#,##0.00;[RED]&quot;-R$ &quot;#,##0.00"/>
  </numFmts>
  <fonts count="3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b val="true"/>
      <sz val="12"/>
      <name val="Arial"/>
      <family val="0"/>
      <charset val="1"/>
    </font>
    <font>
      <i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0" tint="-0.05"/>
        <bgColor rgb="FFEEEEEE"/>
      </patternFill>
    </fill>
    <fill>
      <patternFill patternType="solid">
        <fgColor theme="6" tint="0.5998"/>
        <bgColor rgb="FFDCDADA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7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9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0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0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2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2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9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9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2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9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9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9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5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5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7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9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6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9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0" fillId="8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8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9" fillId="8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7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1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31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30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0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8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9" fillId="8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9" fillId="8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34" fillId="8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29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31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1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0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8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9" fillId="8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9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8" fillId="8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4" fillId="8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8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9" fillId="8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31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1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31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9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9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9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7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8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9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2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2" fontId="20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20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19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DBDBDB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43920</xdr:colOff>
      <xdr:row>1</xdr:row>
      <xdr:rowOff>1173600</xdr:rowOff>
    </xdr:to>
    <xdr:sp>
      <xdr:nvSpPr>
        <xdr:cNvPr id="0" name="CustomShape 1"/>
        <xdr:cNvSpPr/>
      </xdr:nvSpPr>
      <xdr:spPr>
        <a:xfrm>
          <a:off x="2499480" y="288360"/>
          <a:ext cx="2637720" cy="107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378000</xdr:colOff>
      <xdr:row>1</xdr:row>
      <xdr:rowOff>1144800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015720" y="398160"/>
          <a:ext cx="2019960" cy="937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2757600</xdr:colOff>
      <xdr:row>29</xdr:row>
      <xdr:rowOff>54720</xdr:rowOff>
    </xdr:to>
    <xdr:pic>
      <xdr:nvPicPr>
        <xdr:cNvPr id="2" name="Figura 2" descr=""/>
        <xdr:cNvPicPr/>
      </xdr:nvPicPr>
      <xdr:blipFill>
        <a:blip r:embed="rId1"/>
        <a:srcRect l="17758" t="51097" r="20982" b="38294"/>
        <a:stretch/>
      </xdr:blipFill>
      <xdr:spPr>
        <a:xfrm>
          <a:off x="578160" y="6116760"/>
          <a:ext cx="6275880" cy="691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161280</xdr:colOff>
      <xdr:row>21</xdr:row>
      <xdr:rowOff>526320</xdr:rowOff>
    </xdr:to>
    <xdr:pic>
      <xdr:nvPicPr>
        <xdr:cNvPr id="3" name="Figura 3" descr=""/>
        <xdr:cNvPicPr/>
      </xdr:nvPicPr>
      <xdr:blipFill>
        <a:blip r:embed="rId2"/>
        <a:srcRect l="6614" t="69087" r="12466" b="20121"/>
        <a:stretch/>
      </xdr:blipFill>
      <xdr:spPr>
        <a:xfrm>
          <a:off x="442440" y="4193280"/>
          <a:ext cx="6691320" cy="495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6.2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.26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6"/>
      <c r="C5" s="6"/>
      <c r="D5" s="6"/>
      <c r="E5" s="6"/>
      <c r="F5" s="6"/>
      <c r="G5" s="6"/>
    </row>
    <row r="6" customFormat="false" ht="19.5" hidden="false" customHeight="true" outlineLevel="0" collapsed="false">
      <c r="B6" s="7" t="s">
        <v>1</v>
      </c>
      <c r="C6" s="7"/>
      <c r="D6" s="7"/>
      <c r="E6" s="7"/>
      <c r="F6" s="7"/>
      <c r="G6" s="7"/>
    </row>
    <row r="7" customFormat="false" ht="19.5" hidden="false" customHeight="true" outlineLevel="0" collapsed="false">
      <c r="B7" s="8" t="s">
        <v>2</v>
      </c>
      <c r="C7" s="8"/>
      <c r="D7" s="8"/>
      <c r="E7" s="8"/>
      <c r="F7" s="8"/>
      <c r="G7" s="8"/>
    </row>
    <row r="8" customFormat="false" ht="19.5" hidden="false" customHeight="true" outlineLevel="0" collapsed="false">
      <c r="B8" s="9" t="s">
        <v>3</v>
      </c>
      <c r="C8" s="9"/>
      <c r="D8" s="9"/>
      <c r="E8" s="9"/>
      <c r="F8" s="9"/>
      <c r="G8" s="9"/>
    </row>
    <row r="9" customFormat="false" ht="15.75" hidden="false" customHeight="true" outlineLevel="0" collapsed="false">
      <c r="B9" s="6"/>
      <c r="C9" s="6"/>
      <c r="D9" s="6"/>
      <c r="E9" s="6"/>
      <c r="F9" s="6"/>
      <c r="G9" s="6"/>
    </row>
    <row r="10" customFormat="false" ht="42" hidden="false" customHeight="true" outlineLevel="0" collapsed="false">
      <c r="B10" s="10" t="s">
        <v>4</v>
      </c>
      <c r="C10" s="10" t="s">
        <v>5</v>
      </c>
      <c r="D10" s="10" t="s">
        <v>6</v>
      </c>
      <c r="E10" s="10" t="s">
        <v>7</v>
      </c>
      <c r="F10" s="10" t="s">
        <v>8</v>
      </c>
      <c r="G10" s="11" t="s">
        <v>9</v>
      </c>
    </row>
    <row r="11" customFormat="false" ht="81" hidden="false" customHeight="true" outlineLevel="0" collapsed="false">
      <c r="B11" s="12" t="n">
        <v>1</v>
      </c>
      <c r="C11" s="13" t="s">
        <v>10</v>
      </c>
      <c r="D11" s="14" t="s">
        <v>11</v>
      </c>
      <c r="E11" s="14" t="n">
        <v>24</v>
      </c>
      <c r="F11" s="15" t="n">
        <f aca="false">ROUND(Resumo!D7+Resumo!F7,2)</f>
        <v>107884.57</v>
      </c>
      <c r="G11" s="16" t="n">
        <f aca="false">F11*E11</f>
        <v>2589229.68</v>
      </c>
      <c r="H11" s="17"/>
      <c r="I11" s="18"/>
    </row>
    <row r="12" customFormat="false" ht="42" hidden="false" customHeight="true" outlineLevel="0" collapsed="false">
      <c r="B12" s="19" t="s">
        <v>12</v>
      </c>
      <c r="C12" s="19"/>
      <c r="D12" s="19"/>
      <c r="E12" s="19"/>
      <c r="F12" s="19"/>
      <c r="G12" s="19"/>
    </row>
    <row r="14" customFormat="false" ht="13.5" hidden="false" customHeight="false" outlineLevel="0" collapsed="false"/>
    <row r="15" customFormat="false" ht="13.5" hidden="false" customHeight="false" outlineLevel="0" collapsed="false"/>
    <row r="16" customFormat="false" ht="13.5" hidden="false" customHeight="false" outlineLevel="0" collapsed="false">
      <c r="G16" s="20"/>
    </row>
    <row r="17" customFormat="false" ht="13.5" hidden="false" customHeight="false" outlineLevel="0" collapsed="false"/>
    <row r="18" customFormat="false" ht="13.5" hidden="false" customHeight="false" outlineLevel="0" collapsed="false"/>
    <row r="19" customFormat="false" ht="13.5" hidden="false" customHeight="false" outlineLevel="0" collapsed="false"/>
    <row r="20" customFormat="false" ht="13.5" hidden="false" customHeight="false" outlineLevel="0" collapsed="false">
      <c r="G20" s="21"/>
    </row>
    <row r="21" customFormat="false" ht="13.5" hidden="false" customHeight="false" outlineLevel="0" collapsed="false">
      <c r="G21" s="22"/>
      <c r="H21" s="18"/>
    </row>
    <row r="22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ColWidth="8.50390625" defaultRowHeight="14.2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5" t="s">
        <v>192</v>
      </c>
      <c r="C2" s="175"/>
      <c r="D2" s="175"/>
      <c r="E2" s="175"/>
      <c r="F2" s="175"/>
      <c r="G2" s="175"/>
      <c r="H2" s="175"/>
      <c r="I2" s="175"/>
    </row>
    <row r="3" customFormat="false" ht="19.5" hidden="false" customHeight="true" outlineLevel="0" collapsed="false"/>
    <row r="4" customFormat="false" ht="16.5" hidden="false" customHeight="true" outlineLevel="0" collapsed="false">
      <c r="B4" s="176" t="s">
        <v>193</v>
      </c>
      <c r="C4" s="176"/>
      <c r="D4" s="176"/>
      <c r="E4" s="176"/>
      <c r="F4" s="176"/>
      <c r="G4" s="176"/>
      <c r="H4" s="176"/>
      <c r="I4" s="176"/>
    </row>
    <row r="5" customFormat="false" ht="16.5" hidden="false" customHeight="true" outlineLevel="0" collapsed="false">
      <c r="B5" s="206" t="s">
        <v>148</v>
      </c>
      <c r="C5" s="206"/>
      <c r="D5" s="207" t="n">
        <v>91677</v>
      </c>
      <c r="E5" s="207"/>
      <c r="F5" s="207"/>
      <c r="G5" s="207"/>
      <c r="H5" s="207"/>
      <c r="I5" s="207"/>
    </row>
    <row r="6" customFormat="false" ht="16.5" hidden="false" customHeight="true" outlineLevel="0" collapsed="false">
      <c r="B6" s="206" t="s">
        <v>120</v>
      </c>
      <c r="C6" s="206"/>
      <c r="D6" s="207" t="s">
        <v>194</v>
      </c>
      <c r="E6" s="207"/>
      <c r="F6" s="207"/>
      <c r="G6" s="207"/>
      <c r="H6" s="207"/>
      <c r="I6" s="207"/>
    </row>
    <row r="7" customFormat="false" ht="16.5" hidden="false" customHeight="true" outlineLevel="0" collapsed="false">
      <c r="B7" s="206" t="s">
        <v>151</v>
      </c>
      <c r="C7" s="206"/>
      <c r="D7" s="208" t="s">
        <v>152</v>
      </c>
      <c r="E7" s="208"/>
      <c r="F7" s="208"/>
      <c r="G7" s="208"/>
      <c r="H7" s="208"/>
      <c r="I7" s="208"/>
    </row>
    <row r="8" customFormat="false" ht="16.5" hidden="false" customHeight="true" outlineLevel="0" collapsed="false">
      <c r="B8" s="206" t="s">
        <v>153</v>
      </c>
      <c r="C8" s="206"/>
      <c r="D8" s="207" t="s">
        <v>177</v>
      </c>
      <c r="E8" s="207"/>
      <c r="F8" s="207"/>
      <c r="G8" s="207"/>
      <c r="H8" s="207"/>
      <c r="I8" s="207"/>
    </row>
    <row r="9" customFormat="false" ht="16.5" hidden="false" customHeight="true" outlineLevel="0" collapsed="false">
      <c r="B9" s="206" t="s">
        <v>155</v>
      </c>
      <c r="C9" s="206"/>
      <c r="D9" s="207" t="s">
        <v>195</v>
      </c>
      <c r="E9" s="207"/>
      <c r="F9" s="207"/>
      <c r="G9" s="207"/>
      <c r="H9" s="207"/>
      <c r="I9" s="207"/>
    </row>
    <row r="10" customFormat="false" ht="16.5" hidden="false" customHeight="true" outlineLevel="0" collapsed="false">
      <c r="B10" s="206" t="s">
        <v>121</v>
      </c>
      <c r="C10" s="206"/>
      <c r="D10" s="207" t="s">
        <v>165</v>
      </c>
      <c r="E10" s="207"/>
      <c r="F10" s="207"/>
      <c r="G10" s="207"/>
      <c r="H10" s="207"/>
      <c r="I10" s="207"/>
    </row>
    <row r="11" customFormat="false" ht="23.25" hidden="false" customHeight="true" outlineLevel="0" collapsed="false">
      <c r="B11" s="177" t="s">
        <v>161</v>
      </c>
      <c r="C11" s="177"/>
      <c r="D11" s="209" t="n">
        <f aca="false">SUM(I15:I20)</f>
        <v>155.815392</v>
      </c>
      <c r="E11" s="209"/>
      <c r="F11" s="209"/>
      <c r="G11" s="209"/>
      <c r="H11" s="209"/>
      <c r="I11" s="209"/>
    </row>
    <row r="12" customFormat="false" ht="15.75" hidden="false" customHeight="true" outlineLevel="0" collapsed="false">
      <c r="B12" s="181"/>
      <c r="C12" s="181"/>
      <c r="D12" s="182"/>
      <c r="E12" s="182"/>
      <c r="F12" s="182"/>
      <c r="G12" s="182"/>
      <c r="H12" s="182"/>
      <c r="I12" s="182"/>
    </row>
    <row r="13" customFormat="false" ht="15.75" hidden="false" customHeight="true" outlineLevel="0" collapsed="false">
      <c r="B13" s="181"/>
      <c r="C13" s="181"/>
      <c r="D13" s="182"/>
      <c r="E13" s="182"/>
      <c r="F13" s="182"/>
      <c r="G13" s="182"/>
      <c r="H13" s="182"/>
      <c r="I13" s="182"/>
    </row>
    <row r="14" customFormat="false" ht="30" hidden="false" customHeight="false" outlineLevel="0" collapsed="false">
      <c r="B14" s="183"/>
      <c r="C14" s="183" t="s">
        <v>158</v>
      </c>
      <c r="D14" s="183" t="s">
        <v>120</v>
      </c>
      <c r="E14" s="183" t="s">
        <v>155</v>
      </c>
      <c r="F14" s="183" t="s">
        <v>121</v>
      </c>
      <c r="G14" s="183" t="s">
        <v>159</v>
      </c>
      <c r="H14" s="183" t="s">
        <v>160</v>
      </c>
      <c r="I14" s="183" t="s">
        <v>161</v>
      </c>
    </row>
    <row r="15" customFormat="false" ht="19.5" hidden="false" customHeight="true" outlineLevel="0" collapsed="false">
      <c r="B15" s="185" t="s">
        <v>196</v>
      </c>
      <c r="C15" s="185" t="s">
        <v>197</v>
      </c>
      <c r="D15" s="185" t="s">
        <v>198</v>
      </c>
      <c r="E15" s="185" t="s">
        <v>199</v>
      </c>
      <c r="F15" s="185" t="s">
        <v>165</v>
      </c>
      <c r="G15" s="210" t="n">
        <v>2.45</v>
      </c>
      <c r="H15" s="187" t="n">
        <v>1</v>
      </c>
      <c r="I15" s="211" t="n">
        <f aca="false">G15*H15</f>
        <v>2.45</v>
      </c>
      <c r="J15" s="212"/>
      <c r="K15" s="212"/>
    </row>
    <row r="16" customFormat="false" ht="19.5" hidden="false" customHeight="true" outlineLevel="0" collapsed="false">
      <c r="B16" s="185" t="s">
        <v>196</v>
      </c>
      <c r="C16" s="185" t="s">
        <v>200</v>
      </c>
      <c r="D16" s="185" t="s">
        <v>179</v>
      </c>
      <c r="E16" s="185" t="s">
        <v>201</v>
      </c>
      <c r="F16" s="185" t="s">
        <v>165</v>
      </c>
      <c r="G16" s="187" t="n">
        <f aca="false">'Custo Eng. Eletricista'!C13</f>
        <v>151.105392</v>
      </c>
      <c r="H16" s="187" t="n">
        <v>1</v>
      </c>
      <c r="I16" s="211" t="n">
        <f aca="false">G16*H16</f>
        <v>151.105392</v>
      </c>
      <c r="J16" s="212"/>
      <c r="K16" s="212"/>
    </row>
    <row r="17" customFormat="false" ht="30" hidden="false" customHeight="true" outlineLevel="0" collapsed="false">
      <c r="B17" s="185" t="s">
        <v>196</v>
      </c>
      <c r="C17" s="185" t="s">
        <v>202</v>
      </c>
      <c r="D17" s="185" t="s">
        <v>203</v>
      </c>
      <c r="E17" s="185" t="s">
        <v>204</v>
      </c>
      <c r="F17" s="185" t="s">
        <v>165</v>
      </c>
      <c r="G17" s="187" t="n">
        <v>1.43</v>
      </c>
      <c r="H17" s="187" t="n">
        <v>1</v>
      </c>
      <c r="I17" s="211" t="n">
        <f aca="false">G17*H17</f>
        <v>1.43</v>
      </c>
      <c r="J17" s="212"/>
      <c r="K17" s="212"/>
    </row>
    <row r="18" customFormat="false" ht="30" hidden="false" customHeight="true" outlineLevel="0" collapsed="false">
      <c r="B18" s="185" t="s">
        <v>196</v>
      </c>
      <c r="C18" s="185" t="s">
        <v>205</v>
      </c>
      <c r="D18" s="185" t="s">
        <v>206</v>
      </c>
      <c r="E18" s="185" t="s">
        <v>207</v>
      </c>
      <c r="F18" s="185" t="s">
        <v>165</v>
      </c>
      <c r="G18" s="187" t="n">
        <v>0.08</v>
      </c>
      <c r="H18" s="187" t="n">
        <v>1</v>
      </c>
      <c r="I18" s="211" t="n">
        <f aca="false">G18*H18</f>
        <v>0.08</v>
      </c>
      <c r="J18" s="212"/>
      <c r="K18" s="212"/>
    </row>
    <row r="19" customFormat="false" ht="30" hidden="false" customHeight="true" outlineLevel="0" collapsed="false">
      <c r="B19" s="185" t="s">
        <v>196</v>
      </c>
      <c r="C19" s="185" t="s">
        <v>208</v>
      </c>
      <c r="D19" s="185" t="s">
        <v>209</v>
      </c>
      <c r="E19" s="185" t="s">
        <v>210</v>
      </c>
      <c r="F19" s="185" t="s">
        <v>165</v>
      </c>
      <c r="G19" s="187" t="n">
        <v>0.01</v>
      </c>
      <c r="H19" s="187" t="n">
        <v>1</v>
      </c>
      <c r="I19" s="211" t="n">
        <f aca="false">G19*H19</f>
        <v>0.01</v>
      </c>
      <c r="J19" s="212"/>
      <c r="K19" s="212"/>
    </row>
    <row r="20" customFormat="false" ht="30" hidden="false" customHeight="true" outlineLevel="0" collapsed="false">
      <c r="B20" s="185" t="s">
        <v>196</v>
      </c>
      <c r="C20" s="185" t="s">
        <v>211</v>
      </c>
      <c r="D20" s="185" t="s">
        <v>212</v>
      </c>
      <c r="E20" s="185" t="s">
        <v>210</v>
      </c>
      <c r="F20" s="185" t="s">
        <v>165</v>
      </c>
      <c r="G20" s="187" t="n">
        <v>0.74</v>
      </c>
      <c r="H20" s="187" t="n">
        <v>1</v>
      </c>
      <c r="I20" s="211" t="n">
        <f aca="false">G20*H20</f>
        <v>0.74</v>
      </c>
      <c r="J20" s="212"/>
      <c r="K20" s="212"/>
    </row>
    <row r="21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10.125" defaultRowHeight="14.25" zeroHeight="false" outlineLevelRow="0" outlineLevelCol="0"/>
  <cols>
    <col collapsed="false" customWidth="true" hidden="false" outlineLevel="0" max="1" min="1" style="190" width="5.62"/>
    <col collapsed="false" customWidth="true" hidden="false" outlineLevel="0" max="2" min="2" style="190" width="47.25"/>
    <col collapsed="false" customWidth="true" hidden="false" outlineLevel="0" max="3" min="3" style="190" width="37.12"/>
    <col collapsed="false" customWidth="true" hidden="false" outlineLevel="0" max="4" min="4" style="190" width="29.88"/>
    <col collapsed="false" customWidth="true" hidden="false" outlineLevel="0" max="5" min="5" style="190" width="14.25"/>
  </cols>
  <sheetData>
    <row r="1" customFormat="false" ht="15" hidden="false" customHeight="true" outlineLevel="0" collapsed="false"/>
    <row r="2" customFormat="false" ht="14.25" hidden="false" customHeight="false" outlineLevel="0" collapsed="false">
      <c r="C2" s="213" t="s">
        <v>177</v>
      </c>
    </row>
    <row r="3" customFormat="false" ht="14.25" hidden="false" customHeight="false" outlineLevel="0" collapsed="false">
      <c r="B3" s="192" t="s">
        <v>213</v>
      </c>
      <c r="C3" s="213" t="s">
        <v>214</v>
      </c>
    </row>
    <row r="4" customFormat="false" ht="14.25" hidden="false" customHeight="false" outlineLevel="0" collapsed="false">
      <c r="B4" s="192" t="s">
        <v>215</v>
      </c>
      <c r="C4" s="214" t="s">
        <v>216</v>
      </c>
    </row>
    <row r="5" customFormat="false" ht="14.25" hidden="false" customHeight="false" outlineLevel="0" collapsed="false">
      <c r="B5" s="192" t="s">
        <v>182</v>
      </c>
      <c r="C5" s="214" t="n">
        <v>45413</v>
      </c>
    </row>
    <row r="6" customFormat="false" ht="25.5" hidden="false" customHeight="false" outlineLevel="0" collapsed="false">
      <c r="B6" s="192" t="s">
        <v>217</v>
      </c>
      <c r="C6" s="193" t="s">
        <v>218</v>
      </c>
    </row>
    <row r="7" customFormat="false" ht="14.25" hidden="false" customHeight="false" outlineLevel="0" collapsed="false">
      <c r="B7" s="192" t="s">
        <v>219</v>
      </c>
      <c r="C7" s="215" t="n">
        <f aca="false">2760*1.05</f>
        <v>2898</v>
      </c>
    </row>
    <row r="8" customFormat="false" ht="14.25" hidden="false" customHeight="false" outlineLevel="0" collapsed="false">
      <c r="B8" s="216"/>
      <c r="C8" s="217"/>
    </row>
    <row r="9" customFormat="false" ht="25.5" hidden="false" customHeight="false" outlineLevel="0" collapsed="false">
      <c r="B9" s="218" t="s">
        <v>220</v>
      </c>
      <c r="C9" s="192"/>
    </row>
    <row r="10" customFormat="false" ht="14.25" hidden="false" customHeight="false" outlineLevel="0" collapsed="false">
      <c r="B10" s="192" t="s">
        <v>186</v>
      </c>
      <c r="C10" s="199" t="n">
        <v>0.9254</v>
      </c>
    </row>
    <row r="11" customFormat="false" ht="14.25" hidden="false" customHeight="false" outlineLevel="0" collapsed="false">
      <c r="B11" s="192" t="s">
        <v>221</v>
      </c>
      <c r="C11" s="199" t="n">
        <v>0.5341</v>
      </c>
    </row>
    <row r="12" customFormat="false" ht="14.25" hidden="false" customHeight="false" outlineLevel="0" collapsed="false">
      <c r="B12" s="192" t="s">
        <v>187</v>
      </c>
      <c r="C12" s="199" t="n">
        <v>1.156</v>
      </c>
    </row>
    <row r="13" customFormat="false" ht="14.25" hidden="false" customHeight="false" outlineLevel="0" collapsed="false">
      <c r="B13" s="192" t="s">
        <v>222</v>
      </c>
      <c r="C13" s="199" t="n">
        <v>0.718</v>
      </c>
    </row>
    <row r="14" customFormat="false" ht="13.5" hidden="false" customHeight="true" outlineLevel="0" collapsed="false">
      <c r="B14" s="216"/>
      <c r="C14" s="216"/>
    </row>
    <row r="15" customFormat="false" ht="14.25" hidden="false" customHeight="false" outlineLevel="0" collapsed="false">
      <c r="B15" s="200" t="s">
        <v>223</v>
      </c>
      <c r="C15" s="201"/>
    </row>
    <row r="16" customFormat="false" ht="15.75" hidden="false" customHeight="false" outlineLevel="0" collapsed="false">
      <c r="B16" s="219" t="s">
        <v>224</v>
      </c>
      <c r="C16" s="201" t="n">
        <f aca="false">C7*(1+C11)</f>
        <v>4445.8218</v>
      </c>
      <c r="D16" s="220"/>
      <c r="E16" s="220"/>
    </row>
    <row r="17" customFormat="false" ht="15.75" hidden="false" customHeight="false" outlineLevel="0" collapsed="false">
      <c r="B17" s="219" t="s">
        <v>225</v>
      </c>
      <c r="C17" s="201" t="n">
        <f aca="false">C7*(1+C13)</f>
        <v>4978.764</v>
      </c>
      <c r="D17" s="220"/>
      <c r="E17" s="220"/>
    </row>
    <row r="18" customFormat="false" ht="15.75" hidden="false" customHeight="false" outlineLevel="0" collapsed="false">
      <c r="B18" s="219" t="s">
        <v>226</v>
      </c>
      <c r="C18" s="221" t="n">
        <f aca="false">C16*(1+C10)/(220*(1+C11))</f>
        <v>25.3627690909091</v>
      </c>
      <c r="D18" s="222"/>
      <c r="E18" s="220"/>
    </row>
    <row r="19" customFormat="false" ht="15.75" hidden="false" customHeight="false" outlineLevel="0" collapsed="false">
      <c r="B19" s="219" t="s">
        <v>227</v>
      </c>
      <c r="C19" s="221" t="n">
        <f aca="false">(C17*(1+C12)/(220*(1+C13)))</f>
        <v>28.4004</v>
      </c>
      <c r="D19" s="222"/>
      <c r="E19" s="220"/>
    </row>
    <row r="21" customFormat="false" ht="14.25" hidden="false" customHeight="false" outlineLevel="0" collapsed="false">
      <c r="B21" s="190" t="s">
        <v>228</v>
      </c>
    </row>
    <row r="22" customFormat="false" ht="48.75" hidden="false" customHeight="true" outlineLevel="0" collapsed="false"/>
    <row r="23" customFormat="false" ht="34.5" hidden="false" customHeight="true" outlineLevel="0" collapsed="false">
      <c r="B23" s="205" t="s">
        <v>191</v>
      </c>
      <c r="C23" s="205"/>
    </row>
    <row r="24" customFormat="false" ht="33.75" hidden="false" customHeight="true" outlineLevel="0" collapsed="false">
      <c r="B24" s="205" t="s">
        <v>229</v>
      </c>
      <c r="C24" s="205"/>
    </row>
    <row r="25" customFormat="false" ht="30" hidden="false" customHeight="true" outlineLevel="0" collapsed="false">
      <c r="B25" s="205" t="s">
        <v>230</v>
      </c>
      <c r="C25" s="205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8.125" defaultRowHeight="14.25" zeroHeight="false" outlineLevelRow="0" outlineLevelCol="0"/>
  <cols>
    <col collapsed="false" customWidth="true" hidden="false" outlineLevel="0" max="1" min="1" style="223" width="5.62"/>
    <col collapsed="false" customWidth="true" hidden="false" outlineLevel="0" max="2" min="2" style="223" width="2.88"/>
    <col collapsed="false" customWidth="true" hidden="false" outlineLevel="0" max="3" min="3" style="223" width="11.75"/>
    <col collapsed="false" customWidth="true" hidden="false" outlineLevel="0" max="4" min="4" style="223" width="57.75"/>
    <col collapsed="false" customWidth="true" hidden="false" outlineLevel="0" max="5" min="5" style="223" width="28.88"/>
    <col collapsed="false" customWidth="true" hidden="false" outlineLevel="0" max="6" min="6" style="223" width="9.62"/>
    <col collapsed="false" customWidth="true" hidden="false" outlineLevel="0" max="7" min="7" style="223" width="13.25"/>
    <col collapsed="false" customWidth="true" hidden="false" outlineLevel="0" max="8" min="8" style="223" width="11.5"/>
    <col collapsed="false" customWidth="true" hidden="false" outlineLevel="0" max="9" min="9" style="223" width="13.5"/>
    <col collapsed="false" customWidth="true" hidden="false" outlineLevel="0" max="1026" min="10" style="223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24" t="s">
        <v>231</v>
      </c>
      <c r="C2" s="224"/>
      <c r="D2" s="224"/>
      <c r="E2" s="224"/>
      <c r="F2" s="224"/>
      <c r="G2" s="224"/>
      <c r="H2" s="224"/>
      <c r="I2" s="224"/>
    </row>
    <row r="3" customFormat="false" ht="21" hidden="false" customHeight="true" outlineLevel="0" collapsed="false"/>
    <row r="4" customFormat="false" ht="16.5" hidden="false" customHeight="true" outlineLevel="0" collapsed="false">
      <c r="B4" s="225" t="s">
        <v>232</v>
      </c>
      <c r="C4" s="225"/>
      <c r="D4" s="225"/>
      <c r="E4" s="225"/>
      <c r="F4" s="225"/>
      <c r="G4" s="225"/>
      <c r="H4" s="225"/>
      <c r="I4" s="225"/>
    </row>
    <row r="5" customFormat="false" ht="16.5" hidden="false" customHeight="true" outlineLevel="0" collapsed="false">
      <c r="B5" s="226" t="s">
        <v>148</v>
      </c>
      <c r="C5" s="226"/>
      <c r="D5" s="227" t="n">
        <v>88264</v>
      </c>
      <c r="E5" s="227"/>
      <c r="F5" s="227"/>
      <c r="G5" s="227"/>
      <c r="H5" s="227"/>
      <c r="I5" s="227"/>
    </row>
    <row r="6" customFormat="false" ht="16.5" hidden="false" customHeight="true" outlineLevel="0" collapsed="false">
      <c r="B6" s="226" t="s">
        <v>120</v>
      </c>
      <c r="C6" s="226"/>
      <c r="D6" s="227" t="s">
        <v>233</v>
      </c>
      <c r="E6" s="227"/>
      <c r="F6" s="227"/>
      <c r="G6" s="227"/>
      <c r="H6" s="227"/>
      <c r="I6" s="227"/>
    </row>
    <row r="7" customFormat="false" ht="16.5" hidden="false" customHeight="true" outlineLevel="0" collapsed="false">
      <c r="B7" s="226" t="s">
        <v>151</v>
      </c>
      <c r="C7" s="226"/>
      <c r="D7" s="228" t="s">
        <v>152</v>
      </c>
      <c r="E7" s="228"/>
      <c r="F7" s="228"/>
      <c r="G7" s="228"/>
      <c r="H7" s="228"/>
      <c r="I7" s="228"/>
    </row>
    <row r="8" customFormat="false" ht="16.5" hidden="false" customHeight="true" outlineLevel="0" collapsed="false">
      <c r="B8" s="226" t="s">
        <v>153</v>
      </c>
      <c r="C8" s="226"/>
      <c r="D8" s="227" t="s">
        <v>177</v>
      </c>
      <c r="E8" s="227"/>
      <c r="F8" s="227"/>
      <c r="G8" s="227"/>
      <c r="H8" s="227"/>
      <c r="I8" s="227"/>
    </row>
    <row r="9" customFormat="false" ht="16.5" hidden="false" customHeight="true" outlineLevel="0" collapsed="false">
      <c r="B9" s="226" t="s">
        <v>155</v>
      </c>
      <c r="C9" s="226"/>
      <c r="D9" s="227" t="s">
        <v>195</v>
      </c>
      <c r="E9" s="227"/>
      <c r="F9" s="227"/>
      <c r="G9" s="227"/>
      <c r="H9" s="227"/>
      <c r="I9" s="227"/>
    </row>
    <row r="10" customFormat="false" ht="16.5" hidden="false" customHeight="true" outlineLevel="0" collapsed="false">
      <c r="B10" s="226" t="s">
        <v>121</v>
      </c>
      <c r="C10" s="226"/>
      <c r="D10" s="227" t="s">
        <v>165</v>
      </c>
      <c r="E10" s="227"/>
      <c r="F10" s="227"/>
      <c r="G10" s="227"/>
      <c r="H10" s="227"/>
      <c r="I10" s="227"/>
    </row>
    <row r="11" customFormat="false" ht="23.25" hidden="false" customHeight="true" outlineLevel="0" collapsed="false">
      <c r="B11" s="229" t="s">
        <v>161</v>
      </c>
      <c r="C11" s="229"/>
      <c r="D11" s="230" t="n">
        <f aca="false">SUM(I14:I22)</f>
        <v>31.1027690909091</v>
      </c>
      <c r="E11" s="230"/>
      <c r="F11" s="230"/>
      <c r="G11" s="230"/>
      <c r="H11" s="230"/>
      <c r="I11" s="230"/>
    </row>
    <row r="12" customFormat="false" ht="15.75" hidden="false" customHeight="true" outlineLevel="0" collapsed="false">
      <c r="B12" s="231"/>
      <c r="C12" s="231"/>
      <c r="D12" s="232"/>
      <c r="E12" s="232"/>
      <c r="F12" s="232"/>
      <c r="G12" s="232"/>
      <c r="H12" s="232"/>
      <c r="I12" s="232"/>
    </row>
    <row r="13" customFormat="false" ht="30" hidden="false" customHeight="false" outlineLevel="0" collapsed="false">
      <c r="B13" s="184"/>
      <c r="C13" s="184" t="s">
        <v>158</v>
      </c>
      <c r="D13" s="184" t="s">
        <v>120</v>
      </c>
      <c r="E13" s="184" t="s">
        <v>155</v>
      </c>
      <c r="F13" s="184" t="s">
        <v>121</v>
      </c>
      <c r="G13" s="184" t="s">
        <v>159</v>
      </c>
      <c r="H13" s="184" t="s">
        <v>160</v>
      </c>
      <c r="I13" s="184" t="s">
        <v>161</v>
      </c>
    </row>
    <row r="14" customFormat="false" ht="27.75" hidden="false" customHeight="true" outlineLevel="0" collapsed="false">
      <c r="B14" s="233" t="s">
        <v>162</v>
      </c>
      <c r="C14" s="233" t="n">
        <v>95332</v>
      </c>
      <c r="D14" s="233" t="s">
        <v>234</v>
      </c>
      <c r="E14" s="233" t="s">
        <v>195</v>
      </c>
      <c r="F14" s="233" t="s">
        <v>165</v>
      </c>
      <c r="G14" s="185" t="n">
        <v>1.18</v>
      </c>
      <c r="H14" s="234" t="n">
        <v>1</v>
      </c>
      <c r="I14" s="235" t="n">
        <f aca="false">G14*H14</f>
        <v>1.18</v>
      </c>
      <c r="J14" s="236"/>
      <c r="K14" s="236"/>
    </row>
    <row r="15" customFormat="false" ht="32.25" hidden="false" customHeight="true" outlineLevel="0" collapsed="false">
      <c r="B15" s="233" t="s">
        <v>196</v>
      </c>
      <c r="C15" s="233" t="s">
        <v>235</v>
      </c>
      <c r="D15" s="233" t="s">
        <v>236</v>
      </c>
      <c r="E15" s="233" t="s">
        <v>201</v>
      </c>
      <c r="F15" s="233" t="s">
        <v>165</v>
      </c>
      <c r="G15" s="210" t="n">
        <f aca="false">'Custo Oficial de Manutenção'!C18</f>
        <v>25.3627690909091</v>
      </c>
      <c r="H15" s="234" t="n">
        <v>1</v>
      </c>
      <c r="I15" s="235" t="n">
        <f aca="false">G15*H15</f>
        <v>25.3627690909091</v>
      </c>
      <c r="J15" s="236"/>
      <c r="K15" s="236"/>
    </row>
    <row r="16" customFormat="false" ht="42" hidden="false" customHeight="true" outlineLevel="0" collapsed="false">
      <c r="B16" s="233" t="s">
        <v>196</v>
      </c>
      <c r="C16" s="233" t="n">
        <v>37370</v>
      </c>
      <c r="D16" s="233" t="s">
        <v>237</v>
      </c>
      <c r="E16" s="233" t="s">
        <v>204</v>
      </c>
      <c r="F16" s="233" t="s">
        <v>165</v>
      </c>
      <c r="G16" s="185" t="n">
        <v>0.01</v>
      </c>
      <c r="H16" s="234" t="n">
        <v>1</v>
      </c>
      <c r="I16" s="235" t="n">
        <f aca="false">G16*H16</f>
        <v>0.01</v>
      </c>
      <c r="J16" s="236"/>
      <c r="K16" s="236"/>
    </row>
    <row r="17" customFormat="false" ht="27.75" hidden="false" customHeight="true" outlineLevel="0" collapsed="false">
      <c r="B17" s="233" t="s">
        <v>196</v>
      </c>
      <c r="C17" s="233" t="n">
        <v>37371</v>
      </c>
      <c r="D17" s="233" t="s">
        <v>238</v>
      </c>
      <c r="E17" s="233" t="s">
        <v>239</v>
      </c>
      <c r="F17" s="233" t="s">
        <v>165</v>
      </c>
      <c r="G17" s="185" t="n">
        <v>0.61</v>
      </c>
      <c r="H17" s="234" t="n">
        <v>1</v>
      </c>
      <c r="I17" s="235" t="n">
        <f aca="false">G17*H17</f>
        <v>0.61</v>
      </c>
      <c r="J17" s="236"/>
      <c r="K17" s="236"/>
    </row>
    <row r="18" customFormat="false" ht="42" hidden="false" customHeight="true" outlineLevel="0" collapsed="false">
      <c r="B18" s="233" t="s">
        <v>196</v>
      </c>
      <c r="C18" s="233" t="n">
        <v>37372</v>
      </c>
      <c r="D18" s="233" t="s">
        <v>203</v>
      </c>
      <c r="E18" s="233" t="s">
        <v>204</v>
      </c>
      <c r="F18" s="233" t="s">
        <v>165</v>
      </c>
      <c r="G18" s="185" t="n">
        <v>1.43</v>
      </c>
      <c r="H18" s="234" t="n">
        <v>1</v>
      </c>
      <c r="I18" s="235" t="n">
        <f aca="false">G18*H18</f>
        <v>1.43</v>
      </c>
      <c r="J18" s="236"/>
      <c r="K18" s="236"/>
    </row>
    <row r="19" customFormat="false" ht="27.75" hidden="false" customHeight="true" outlineLevel="0" collapsed="false">
      <c r="B19" s="233" t="s">
        <v>196</v>
      </c>
      <c r="C19" s="233" t="n">
        <v>37373</v>
      </c>
      <c r="D19" s="233" t="s">
        <v>206</v>
      </c>
      <c r="E19" s="233" t="s">
        <v>207</v>
      </c>
      <c r="F19" s="233" t="s">
        <v>165</v>
      </c>
      <c r="G19" s="185" t="n">
        <v>0.08</v>
      </c>
      <c r="H19" s="234" t="n">
        <v>1</v>
      </c>
      <c r="I19" s="235" t="n">
        <f aca="false">G19*H19</f>
        <v>0.08</v>
      </c>
      <c r="J19" s="236"/>
      <c r="K19" s="236"/>
    </row>
    <row r="20" customFormat="false" ht="27.75" hidden="false" customHeight="true" outlineLevel="0" collapsed="false">
      <c r="B20" s="233" t="s">
        <v>196</v>
      </c>
      <c r="C20" s="233" t="n">
        <v>43460</v>
      </c>
      <c r="D20" s="233" t="s">
        <v>240</v>
      </c>
      <c r="E20" s="233" t="s">
        <v>210</v>
      </c>
      <c r="F20" s="233" t="s">
        <v>165</v>
      </c>
      <c r="G20" s="185" t="n">
        <v>0.86</v>
      </c>
      <c r="H20" s="234" t="n">
        <v>1</v>
      </c>
      <c r="I20" s="235" t="n">
        <f aca="false">G20*H20</f>
        <v>0.86</v>
      </c>
      <c r="J20" s="236"/>
      <c r="K20" s="236"/>
    </row>
    <row r="21" customFormat="false" ht="29.25" hidden="false" customHeight="true" outlineLevel="0" collapsed="false">
      <c r="B21" s="237" t="s">
        <v>196</v>
      </c>
      <c r="C21" s="237" t="n">
        <v>43461</v>
      </c>
      <c r="D21" s="237" t="s">
        <v>241</v>
      </c>
      <c r="E21" s="237" t="s">
        <v>210</v>
      </c>
      <c r="F21" s="237" t="s">
        <v>165</v>
      </c>
      <c r="G21" s="238" t="n">
        <v>0.31</v>
      </c>
      <c r="H21" s="239" t="n">
        <v>1</v>
      </c>
      <c r="I21" s="240" t="n">
        <f aca="false">G21*H21</f>
        <v>0.31</v>
      </c>
      <c r="J21" s="236"/>
      <c r="K21" s="236"/>
    </row>
    <row r="22" customFormat="false" ht="27.75" hidden="false" customHeight="true" outlineLevel="0" collapsed="false">
      <c r="B22" s="233" t="s">
        <v>196</v>
      </c>
      <c r="C22" s="233" t="n">
        <v>43484</v>
      </c>
      <c r="D22" s="233" t="s">
        <v>242</v>
      </c>
      <c r="E22" s="233" t="s">
        <v>210</v>
      </c>
      <c r="F22" s="233" t="s">
        <v>165</v>
      </c>
      <c r="G22" s="187" t="n">
        <v>1.26</v>
      </c>
      <c r="H22" s="234" t="n">
        <v>1</v>
      </c>
      <c r="I22" s="235" t="n">
        <f aca="false">G22*H22</f>
        <v>1.26</v>
      </c>
      <c r="J22" s="236"/>
      <c r="K22" s="236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N2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3" width="15.5"/>
    <col collapsed="false" customWidth="true" hidden="false" outlineLevel="0" max="3" min="3" style="24" width="16.26"/>
    <col collapsed="false" customWidth="true" hidden="false" outlineLevel="0" max="4" min="4" style="23" width="31.88"/>
    <col collapsed="false" customWidth="true" hidden="false" outlineLevel="0" max="5" min="5" style="23" width="36.88"/>
    <col collapsed="false" customWidth="true" hidden="false" outlineLevel="0" max="6" min="6" style="24" width="15.26"/>
    <col collapsed="false" customWidth="true" hidden="false" outlineLevel="0" max="7" min="7" style="23" width="9"/>
    <col collapsed="false" customWidth="true" hidden="false" outlineLevel="0" max="8" min="8" style="23" width="9.12"/>
    <col collapsed="false" customWidth="true" hidden="false" outlineLevel="0" max="9" min="9" style="23" width="12"/>
    <col collapsed="false" customWidth="true" hidden="false" outlineLevel="0" max="11" min="10" style="23" width="11.25"/>
    <col collapsed="false" customWidth="true" hidden="false" outlineLevel="0" max="12" min="12" style="23" width="10.38"/>
    <col collapsed="false" customWidth="true" hidden="false" outlineLevel="0" max="13" min="13" style="23" width="10.5"/>
    <col collapsed="false" customWidth="true" hidden="false" outlineLevel="0" max="14" min="14" style="23" width="12.5"/>
    <col collapsed="false" customWidth="true" hidden="false" outlineLevel="0" max="259" min="15" style="23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41" customFormat="true" ht="29.25" hidden="false" customHeight="true" outlineLevel="0" collapsed="false">
      <c r="B2" s="242" t="str">
        <f aca="false">"RELAÇÃO DE UNIDADES DO "&amp;'Valor da Contratação'!B7&amp;""</f>
        <v>RELAÇÃO DE UNIDADES DO POLO IV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="23" customFormat="true" ht="15" hidden="false" customHeight="true" outlineLevel="0" collapsed="false"/>
    <row r="4" customFormat="false" ht="66.75" hidden="false" customHeight="true" outlineLevel="0" collapsed="false">
      <c r="B4" s="38" t="s">
        <v>243</v>
      </c>
      <c r="C4" s="38" t="s">
        <v>13</v>
      </c>
      <c r="D4" s="38" t="s">
        <v>41</v>
      </c>
      <c r="E4" s="38" t="s">
        <v>244</v>
      </c>
      <c r="F4" s="38" t="s">
        <v>245</v>
      </c>
      <c r="G4" s="38" t="s">
        <v>246</v>
      </c>
      <c r="H4" s="38" t="s">
        <v>71</v>
      </c>
      <c r="I4" s="38" t="s">
        <v>247</v>
      </c>
      <c r="J4" s="38" t="s">
        <v>248</v>
      </c>
      <c r="K4" s="38" t="s">
        <v>249</v>
      </c>
      <c r="L4" s="38" t="s">
        <v>250</v>
      </c>
      <c r="M4" s="38" t="s">
        <v>251</v>
      </c>
      <c r="N4" s="38" t="s">
        <v>252</v>
      </c>
    </row>
    <row r="5" customFormat="false" ht="18" hidden="false" customHeight="true" outlineLevel="0" collapsed="false">
      <c r="B5" s="243" t="s">
        <v>21</v>
      </c>
      <c r="C5" s="243" t="s">
        <v>21</v>
      </c>
      <c r="D5" s="70" t="s">
        <v>81</v>
      </c>
      <c r="E5" s="244" t="s">
        <v>253</v>
      </c>
      <c r="F5" s="72" t="n">
        <f aca="false">58*2/60</f>
        <v>1.93333333333333</v>
      </c>
      <c r="G5" s="245" t="n">
        <v>0.03</v>
      </c>
      <c r="H5" s="245" t="n">
        <f aca="false">HLOOKUP(G5,BDI!$C$19:$J$30,12,)</f>
        <v>0.2849</v>
      </c>
      <c r="I5" s="246" t="n">
        <v>557.17</v>
      </c>
      <c r="J5" s="246" t="n">
        <v>516.32</v>
      </c>
      <c r="K5" s="246" t="n">
        <v>40.85</v>
      </c>
      <c r="L5" s="246" t="n">
        <v>0</v>
      </c>
      <c r="M5" s="246" t="s">
        <v>254</v>
      </c>
      <c r="N5" s="246" t="s">
        <v>255</v>
      </c>
    </row>
    <row r="6" customFormat="false" ht="18" hidden="false" customHeight="true" outlineLevel="0" collapsed="false">
      <c r="B6" s="243" t="s">
        <v>21</v>
      </c>
      <c r="C6" s="243" t="s">
        <v>21</v>
      </c>
      <c r="D6" s="70" t="s">
        <v>83</v>
      </c>
      <c r="E6" s="244" t="s">
        <v>256</v>
      </c>
      <c r="F6" s="72" t="n">
        <f aca="false">52*2/60</f>
        <v>1.73333333333333</v>
      </c>
      <c r="G6" s="245" t="n">
        <v>0.02</v>
      </c>
      <c r="H6" s="245" t="n">
        <f aca="false">HLOOKUP(G6,BDI!$C$19:$J$30,12,)</f>
        <v>0.2707</v>
      </c>
      <c r="I6" s="246" t="n">
        <v>1027.72</v>
      </c>
      <c r="J6" s="246" t="n">
        <v>807.3</v>
      </c>
      <c r="K6" s="246" t="n">
        <v>220.42</v>
      </c>
      <c r="L6" s="246" t="n">
        <v>0</v>
      </c>
      <c r="M6" s="246" t="s">
        <v>254</v>
      </c>
      <c r="N6" s="246" t="s">
        <v>255</v>
      </c>
    </row>
    <row r="7" customFormat="false" ht="18" hidden="false" customHeight="true" outlineLevel="0" collapsed="false">
      <c r="B7" s="243" t="s">
        <v>21</v>
      </c>
      <c r="C7" s="243" t="s">
        <v>21</v>
      </c>
      <c r="D7" s="70" t="s">
        <v>85</v>
      </c>
      <c r="E7" s="247" t="s">
        <v>257</v>
      </c>
      <c r="F7" s="72" t="n">
        <f aca="false">71*2/60</f>
        <v>2.36666666666667</v>
      </c>
      <c r="G7" s="245" t="n">
        <v>0.04</v>
      </c>
      <c r="H7" s="245" t="n">
        <f aca="false">HLOOKUP(G7,BDI!$C$19:$J$30,12,)</f>
        <v>0.2994</v>
      </c>
      <c r="I7" s="246" t="n">
        <v>963</v>
      </c>
      <c r="J7" s="246" t="n">
        <v>463</v>
      </c>
      <c r="K7" s="246" t="n">
        <v>94</v>
      </c>
      <c r="L7" s="246" t="n">
        <v>406</v>
      </c>
      <c r="M7" s="246" t="s">
        <v>255</v>
      </c>
      <c r="N7" s="246" t="s">
        <v>254</v>
      </c>
    </row>
    <row r="8" customFormat="false" ht="18" hidden="false" customHeight="true" outlineLevel="0" collapsed="false">
      <c r="B8" s="243" t="s">
        <v>21</v>
      </c>
      <c r="C8" s="243" t="s">
        <v>21</v>
      </c>
      <c r="D8" s="70" t="s">
        <v>86</v>
      </c>
      <c r="E8" s="247" t="s">
        <v>258</v>
      </c>
      <c r="F8" s="72" t="n">
        <f aca="false">33*2/60</f>
        <v>1.1</v>
      </c>
      <c r="G8" s="245" t="n">
        <v>0.03</v>
      </c>
      <c r="H8" s="245" t="n">
        <f aca="false">HLOOKUP(G8,BDI!$C$19:$J$30,12,)</f>
        <v>0.2849</v>
      </c>
      <c r="I8" s="246" t="n">
        <v>204.1</v>
      </c>
      <c r="J8" s="246" t="n">
        <v>137.18</v>
      </c>
      <c r="K8" s="246" t="n">
        <v>66.92</v>
      </c>
      <c r="L8" s="246" t="n">
        <v>0</v>
      </c>
      <c r="M8" s="246" t="s">
        <v>255</v>
      </c>
      <c r="N8" s="246" t="s">
        <v>255</v>
      </c>
    </row>
    <row r="9" customFormat="false" ht="18" hidden="false" customHeight="true" outlineLevel="0" collapsed="false">
      <c r="B9" s="243" t="s">
        <v>21</v>
      </c>
      <c r="C9" s="243" t="s">
        <v>21</v>
      </c>
      <c r="D9" s="70" t="s">
        <v>87</v>
      </c>
      <c r="E9" s="244" t="s">
        <v>259</v>
      </c>
      <c r="F9" s="72" t="n">
        <f aca="false">59*2/60</f>
        <v>1.96666666666667</v>
      </c>
      <c r="G9" s="245" t="n">
        <v>0.02</v>
      </c>
      <c r="H9" s="245" t="n">
        <f aca="false">HLOOKUP(G9,BDI!$C$19:$J$30,12,)</f>
        <v>0.2707</v>
      </c>
      <c r="I9" s="246" t="n">
        <v>3189</v>
      </c>
      <c r="J9" s="246" t="n">
        <v>1510.13</v>
      </c>
      <c r="K9" s="246" t="n">
        <v>678.42</v>
      </c>
      <c r="L9" s="246" t="n">
        <v>1000.45</v>
      </c>
      <c r="M9" s="246" t="s">
        <v>255</v>
      </c>
      <c r="N9" s="246" t="s">
        <v>254</v>
      </c>
    </row>
    <row r="10" customFormat="false" ht="18" hidden="false" customHeight="true" outlineLevel="0" collapsed="false">
      <c r="B10" s="243" t="s">
        <v>21</v>
      </c>
      <c r="C10" s="243" t="s">
        <v>21</v>
      </c>
      <c r="D10" s="70" t="s">
        <v>89</v>
      </c>
      <c r="E10" s="244" t="s">
        <v>260</v>
      </c>
      <c r="F10" s="72" t="n">
        <f aca="false">53*2/60</f>
        <v>1.76666666666667</v>
      </c>
      <c r="G10" s="245" t="n">
        <v>0.02</v>
      </c>
      <c r="H10" s="245" t="n">
        <f aca="false">HLOOKUP(G10,BDI!$C$19:$J$30,12,)</f>
        <v>0.2707</v>
      </c>
      <c r="I10" s="246" t="n">
        <v>334.4</v>
      </c>
      <c r="J10" s="246" t="n">
        <v>296</v>
      </c>
      <c r="K10" s="246" t="n">
        <v>38.4</v>
      </c>
      <c r="L10" s="246" t="n">
        <v>0</v>
      </c>
      <c r="M10" s="246" t="s">
        <v>255</v>
      </c>
      <c r="N10" s="246" t="s">
        <v>255</v>
      </c>
    </row>
    <row r="11" customFormat="false" ht="18" hidden="false" customHeight="true" outlineLevel="0" collapsed="false">
      <c r="B11" s="243" t="s">
        <v>21</v>
      </c>
      <c r="C11" s="243" t="s">
        <v>21</v>
      </c>
      <c r="D11" s="70" t="s">
        <v>90</v>
      </c>
      <c r="E11" s="244" t="s">
        <v>261</v>
      </c>
      <c r="F11" s="72" t="n">
        <f aca="false">76/60</f>
        <v>1.26666666666667</v>
      </c>
      <c r="G11" s="245" t="n">
        <v>0.035</v>
      </c>
      <c r="H11" s="245" t="n">
        <f aca="false">HLOOKUP(G11,BDI!$C$19:$J$30,12,)</f>
        <v>0.2921</v>
      </c>
      <c r="I11" s="246" t="n">
        <v>334.4</v>
      </c>
      <c r="J11" s="246" t="n">
        <v>296</v>
      </c>
      <c r="K11" s="246" t="n">
        <v>38.4</v>
      </c>
      <c r="L11" s="246" t="n">
        <v>0</v>
      </c>
      <c r="M11" s="246" t="s">
        <v>255</v>
      </c>
      <c r="N11" s="246" t="s">
        <v>255</v>
      </c>
    </row>
    <row r="12" customFormat="false" ht="18" hidden="false" customHeight="true" outlineLevel="0" collapsed="false">
      <c r="B12" s="243" t="s">
        <v>21</v>
      </c>
      <c r="C12" s="243" t="s">
        <v>21</v>
      </c>
      <c r="D12" s="70" t="s">
        <v>92</v>
      </c>
      <c r="E12" s="244" t="s">
        <v>262</v>
      </c>
      <c r="F12" s="72" t="n">
        <f aca="false">102*2/60</f>
        <v>3.4</v>
      </c>
      <c r="G12" s="245" t="n">
        <v>0.02</v>
      </c>
      <c r="H12" s="245" t="n">
        <f aca="false">HLOOKUP(G12,BDI!$C$19:$J$30,12,)</f>
        <v>0.2707</v>
      </c>
      <c r="I12" s="246" t="n">
        <v>2048</v>
      </c>
      <c r="J12" s="246" t="n">
        <v>1174.52</v>
      </c>
      <c r="K12" s="246" t="n">
        <v>810</v>
      </c>
      <c r="L12" s="246" t="n">
        <v>63.48</v>
      </c>
      <c r="M12" s="246" t="s">
        <v>255</v>
      </c>
      <c r="N12" s="246" t="s">
        <v>254</v>
      </c>
    </row>
    <row r="13" customFormat="false" ht="18" hidden="false" customHeight="true" outlineLevel="0" collapsed="false">
      <c r="B13" s="243" t="s">
        <v>21</v>
      </c>
      <c r="C13" s="243" t="s">
        <v>21</v>
      </c>
      <c r="D13" s="70" t="s">
        <v>94</v>
      </c>
      <c r="E13" s="244" t="s">
        <v>263</v>
      </c>
      <c r="F13" s="72" t="n">
        <f aca="false">37*2/60</f>
        <v>1.23333333333333</v>
      </c>
      <c r="G13" s="245" t="n">
        <v>0.035</v>
      </c>
      <c r="H13" s="245" t="n">
        <f aca="false">HLOOKUP(G13,BDI!$C$19:$J$30,12,)</f>
        <v>0.2921</v>
      </c>
      <c r="I13" s="246" t="n">
        <v>964.83</v>
      </c>
      <c r="J13" s="246" t="n">
        <v>546.27</v>
      </c>
      <c r="K13" s="246" t="n">
        <v>223.33</v>
      </c>
      <c r="L13" s="246" t="n">
        <v>195.23</v>
      </c>
      <c r="M13" s="246" t="s">
        <v>254</v>
      </c>
      <c r="N13" s="246" t="s">
        <v>255</v>
      </c>
    </row>
    <row r="14" customFormat="false" ht="18" hidden="false" customHeight="true" outlineLevel="0" collapsed="false">
      <c r="B14" s="243" t="s">
        <v>21</v>
      </c>
      <c r="C14" s="243" t="s">
        <v>21</v>
      </c>
      <c r="D14" s="70" t="s">
        <v>96</v>
      </c>
      <c r="E14" s="244" t="s">
        <v>264</v>
      </c>
      <c r="F14" s="72" t="n">
        <f aca="false">8/60</f>
        <v>0.133333333333333</v>
      </c>
      <c r="G14" s="245" t="n">
        <v>0.05</v>
      </c>
      <c r="H14" s="245" t="n">
        <f aca="false">HLOOKUP(G14,BDI!$C$19:$J$30,12,)</f>
        <v>0.3142</v>
      </c>
      <c r="I14" s="246" t="n">
        <v>540</v>
      </c>
      <c r="J14" s="246" t="n">
        <v>0</v>
      </c>
      <c r="K14" s="246" t="n">
        <v>540</v>
      </c>
      <c r="L14" s="246" t="n">
        <v>0</v>
      </c>
      <c r="M14" s="246" t="s">
        <v>255</v>
      </c>
      <c r="N14" s="246" t="s">
        <v>255</v>
      </c>
    </row>
    <row r="15" customFormat="false" ht="18" hidden="false" customHeight="true" outlineLevel="0" collapsed="false">
      <c r="B15" s="243" t="s">
        <v>21</v>
      </c>
      <c r="C15" s="243" t="s">
        <v>21</v>
      </c>
      <c r="D15" s="70" t="s">
        <v>97</v>
      </c>
      <c r="E15" s="244" t="s">
        <v>265</v>
      </c>
      <c r="F15" s="72" t="n">
        <v>0</v>
      </c>
      <c r="G15" s="245" t="n">
        <v>0.05</v>
      </c>
      <c r="H15" s="245" t="n">
        <f aca="false">HLOOKUP(G15,BDI!$C$19:$J$30,12,)</f>
        <v>0.3142</v>
      </c>
      <c r="I15" s="246" t="n">
        <v>1896.48</v>
      </c>
      <c r="J15" s="246" t="n">
        <v>1716.77</v>
      </c>
      <c r="K15" s="246" t="n">
        <v>179.71</v>
      </c>
      <c r="L15" s="246" t="n">
        <v>0</v>
      </c>
      <c r="M15" s="246" t="s">
        <v>254</v>
      </c>
      <c r="N15" s="246" t="s">
        <v>255</v>
      </c>
    </row>
    <row r="16" customFormat="false" ht="18" hidden="false" customHeight="true" outlineLevel="0" collapsed="false">
      <c r="B16" s="243" t="s">
        <v>22</v>
      </c>
      <c r="C16" s="243" t="s">
        <v>22</v>
      </c>
      <c r="D16" s="70" t="s">
        <v>131</v>
      </c>
      <c r="E16" s="244" t="s">
        <v>266</v>
      </c>
      <c r="F16" s="72" t="n">
        <f aca="false">177*2/60</f>
        <v>5.9</v>
      </c>
      <c r="G16" s="245" t="n">
        <v>0.03</v>
      </c>
      <c r="H16" s="245" t="n">
        <f aca="false">HLOOKUP(G16,BDI!$C$19:$J$30,12,)</f>
        <v>0.2849</v>
      </c>
      <c r="I16" s="246" t="n">
        <v>2098</v>
      </c>
      <c r="J16" s="246" t="n">
        <v>661</v>
      </c>
      <c r="K16" s="246" t="n">
        <v>742</v>
      </c>
      <c r="L16" s="246" t="n">
        <v>695</v>
      </c>
      <c r="M16" s="246" t="s">
        <v>254</v>
      </c>
      <c r="N16" s="246" t="s">
        <v>254</v>
      </c>
    </row>
    <row r="17" customFormat="false" ht="18" hidden="false" customHeight="true" outlineLevel="0" collapsed="false">
      <c r="B17" s="243" t="s">
        <v>22</v>
      </c>
      <c r="C17" s="243" t="s">
        <v>22</v>
      </c>
      <c r="D17" s="70" t="s">
        <v>132</v>
      </c>
      <c r="E17" s="244" t="s">
        <v>267</v>
      </c>
      <c r="F17" s="72" t="n">
        <f aca="false">40*2/60</f>
        <v>1.33333333333333</v>
      </c>
      <c r="G17" s="245" t="n">
        <v>0.02</v>
      </c>
      <c r="H17" s="245" t="n">
        <f aca="false">HLOOKUP(G17,BDI!$C$19:$J$30,12,)</f>
        <v>0.2707</v>
      </c>
      <c r="I17" s="246" t="n">
        <v>334.4</v>
      </c>
      <c r="J17" s="246" t="n">
        <v>296</v>
      </c>
      <c r="K17" s="246" t="n">
        <v>38.4</v>
      </c>
      <c r="L17" s="246" t="n">
        <v>0</v>
      </c>
      <c r="M17" s="246" t="s">
        <v>255</v>
      </c>
      <c r="N17" s="246" t="s">
        <v>255</v>
      </c>
    </row>
    <row r="18" customFormat="false" ht="18" hidden="false" customHeight="true" outlineLevel="0" collapsed="false">
      <c r="B18" s="243" t="s">
        <v>22</v>
      </c>
      <c r="C18" s="243" t="s">
        <v>22</v>
      </c>
      <c r="D18" s="70" t="s">
        <v>133</v>
      </c>
      <c r="E18" s="244" t="s">
        <v>268</v>
      </c>
      <c r="F18" s="72" t="n">
        <f aca="false">50*2/60</f>
        <v>1.66666666666667</v>
      </c>
      <c r="G18" s="245" t="n">
        <v>0.02</v>
      </c>
      <c r="H18" s="245" t="n">
        <f aca="false">HLOOKUP(G18,BDI!$C$19:$J$30,12,)</f>
        <v>0.2707</v>
      </c>
      <c r="I18" s="246" t="n">
        <v>1264.6</v>
      </c>
      <c r="J18" s="246" t="n">
        <v>749.6</v>
      </c>
      <c r="K18" s="246" t="n">
        <v>515</v>
      </c>
      <c r="L18" s="246" t="n">
        <v>0</v>
      </c>
      <c r="M18" s="246" t="s">
        <v>254</v>
      </c>
      <c r="N18" s="246" t="s">
        <v>254</v>
      </c>
    </row>
    <row r="19" customFormat="false" ht="18" hidden="false" customHeight="true" outlineLevel="0" collapsed="false">
      <c r="B19" s="243" t="s">
        <v>22</v>
      </c>
      <c r="C19" s="243" t="s">
        <v>22</v>
      </c>
      <c r="D19" s="70" t="s">
        <v>134</v>
      </c>
      <c r="E19" s="244" t="s">
        <v>269</v>
      </c>
      <c r="F19" s="72" t="n">
        <f aca="false">132*2/60</f>
        <v>4.4</v>
      </c>
      <c r="G19" s="245" t="n">
        <v>0.02</v>
      </c>
      <c r="H19" s="245" t="n">
        <f aca="false">HLOOKUP(G19,BDI!$C$19:$J$30,12,)</f>
        <v>0.2707</v>
      </c>
      <c r="I19" s="246" t="n">
        <v>1623.5</v>
      </c>
      <c r="J19" s="246" t="n">
        <v>842.5</v>
      </c>
      <c r="K19" s="246" t="n">
        <v>660</v>
      </c>
      <c r="L19" s="246" t="n">
        <v>121</v>
      </c>
      <c r="M19" s="246" t="s">
        <v>255</v>
      </c>
      <c r="N19" s="246" t="s">
        <v>255</v>
      </c>
    </row>
    <row r="20" customFormat="false" ht="18" hidden="false" customHeight="true" outlineLevel="0" collapsed="false">
      <c r="B20" s="243" t="s">
        <v>22</v>
      </c>
      <c r="C20" s="243" t="s">
        <v>22</v>
      </c>
      <c r="D20" s="70" t="s">
        <v>135</v>
      </c>
      <c r="E20" s="247" t="s">
        <v>270</v>
      </c>
      <c r="F20" s="72" t="n">
        <f aca="false">139*2/60</f>
        <v>4.63333333333333</v>
      </c>
      <c r="G20" s="245" t="n">
        <v>0.02</v>
      </c>
      <c r="H20" s="245" t="n">
        <f aca="false">HLOOKUP(G20,BDI!$C$19:$J$30,12,)</f>
        <v>0.2707</v>
      </c>
      <c r="I20" s="246" t="n">
        <v>334.4</v>
      </c>
      <c r="J20" s="246" t="n">
        <v>296</v>
      </c>
      <c r="K20" s="246" t="n">
        <v>38.4</v>
      </c>
      <c r="L20" s="246" t="n">
        <v>0</v>
      </c>
      <c r="M20" s="246" t="s">
        <v>255</v>
      </c>
      <c r="N20" s="246" t="s">
        <v>255</v>
      </c>
    </row>
    <row r="21" customFormat="false" ht="18" hidden="false" customHeight="true" outlineLevel="0" collapsed="false">
      <c r="B21" s="243" t="s">
        <v>22</v>
      </c>
      <c r="C21" s="243" t="s">
        <v>22</v>
      </c>
      <c r="D21" s="70" t="s">
        <v>136</v>
      </c>
      <c r="E21" s="244" t="s">
        <v>271</v>
      </c>
      <c r="F21" s="72" t="n">
        <f aca="false">79*2/60</f>
        <v>2.63333333333333</v>
      </c>
      <c r="G21" s="245" t="n">
        <v>0.02</v>
      </c>
      <c r="H21" s="245" t="n">
        <f aca="false">HLOOKUP(G21,BDI!$C$19:$J$30,12,)</f>
        <v>0.2707</v>
      </c>
      <c r="I21" s="246" t="n">
        <v>780.2</v>
      </c>
      <c r="J21" s="246" t="n">
        <v>578.2</v>
      </c>
      <c r="K21" s="246" t="n">
        <v>155</v>
      </c>
      <c r="L21" s="246" t="n">
        <v>47</v>
      </c>
      <c r="M21" s="246" t="s">
        <v>255</v>
      </c>
      <c r="N21" s="246" t="s">
        <v>254</v>
      </c>
    </row>
    <row r="22" customFormat="false" ht="18" hidden="false" customHeight="true" outlineLevel="0" collapsed="false">
      <c r="B22" s="243" t="s">
        <v>22</v>
      </c>
      <c r="C22" s="243" t="s">
        <v>22</v>
      </c>
      <c r="D22" s="70" t="s">
        <v>137</v>
      </c>
      <c r="E22" s="244" t="s">
        <v>272</v>
      </c>
      <c r="F22" s="72" t="n">
        <f aca="false">114/60</f>
        <v>1.9</v>
      </c>
      <c r="G22" s="245" t="n">
        <v>0.03</v>
      </c>
      <c r="H22" s="245" t="n">
        <f aca="false">HLOOKUP(G22,BDI!$C$19:$J$30,12,)</f>
        <v>0.2849</v>
      </c>
      <c r="I22" s="246" t="n">
        <v>389.8</v>
      </c>
      <c r="J22" s="246" t="n">
        <v>349.8</v>
      </c>
      <c r="K22" s="246" t="n">
        <v>40</v>
      </c>
      <c r="L22" s="246" t="n">
        <v>0</v>
      </c>
      <c r="M22" s="246" t="s">
        <v>255</v>
      </c>
      <c r="N22" s="246" t="s">
        <v>255</v>
      </c>
    </row>
    <row r="23" customFormat="false" ht="18" hidden="false" customHeight="true" outlineLevel="0" collapsed="false">
      <c r="B23" s="243" t="s">
        <v>22</v>
      </c>
      <c r="C23" s="243" t="s">
        <v>22</v>
      </c>
      <c r="D23" s="70" t="s">
        <v>138</v>
      </c>
      <c r="E23" s="247" t="s">
        <v>273</v>
      </c>
      <c r="F23" s="72" t="n">
        <v>0</v>
      </c>
      <c r="G23" s="245" t="n">
        <v>0.02</v>
      </c>
      <c r="H23" s="245" t="n">
        <f aca="false">HLOOKUP(G23,BDI!$C$19:$J$30,12,)</f>
        <v>0.2707</v>
      </c>
      <c r="I23" s="246" t="n">
        <v>3091</v>
      </c>
      <c r="J23" s="246" t="n">
        <v>2231.68</v>
      </c>
      <c r="K23" s="246" t="n">
        <v>859.32</v>
      </c>
      <c r="L23" s="246" t="n">
        <v>0</v>
      </c>
      <c r="M23" s="246" t="s">
        <v>255</v>
      </c>
      <c r="N23" s="246" t="s">
        <v>254</v>
      </c>
    </row>
    <row r="24" customFormat="false" ht="18" hidden="false" customHeight="true" outlineLevel="0" collapsed="false">
      <c r="B24" s="243" t="s">
        <v>22</v>
      </c>
      <c r="C24" s="243" t="s">
        <v>22</v>
      </c>
      <c r="D24" s="70" t="s">
        <v>139</v>
      </c>
      <c r="E24" s="244" t="s">
        <v>274</v>
      </c>
      <c r="F24" s="72" t="n">
        <f aca="false">12/60</f>
        <v>0.2</v>
      </c>
      <c r="G24" s="245" t="n">
        <v>0.02</v>
      </c>
      <c r="H24" s="245" t="n">
        <f aca="false">HLOOKUP(G24,BDI!$C$19:$J$30,12,)</f>
        <v>0.2707</v>
      </c>
      <c r="I24" s="246" t="n">
        <v>873</v>
      </c>
      <c r="J24" s="246" t="n">
        <v>0</v>
      </c>
      <c r="K24" s="246" t="n">
        <v>873</v>
      </c>
      <c r="L24" s="246" t="n">
        <v>0</v>
      </c>
      <c r="M24" s="246" t="s">
        <v>254</v>
      </c>
      <c r="N24" s="246" t="s">
        <v>254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8" activeCellId="0" sqref="N18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8" width="11.62"/>
    <col collapsed="false" customWidth="true" hidden="false" outlineLevel="0" max="3" min="3" style="248" width="42.25"/>
    <col collapsed="false" customWidth="true" hidden="false" outlineLevel="0" max="4" min="4" style="58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9" t="s">
        <v>275</v>
      </c>
      <c r="C2" s="249"/>
      <c r="D2" s="249"/>
      <c r="E2" s="249"/>
      <c r="F2" s="249"/>
      <c r="G2" s="249"/>
      <c r="H2" s="249"/>
      <c r="I2" s="249"/>
      <c r="J2" s="249"/>
    </row>
    <row r="3" customFormat="false" ht="19.5" hidden="false" customHeight="true" outlineLevel="0" collapsed="false">
      <c r="B3" s="250" t="s">
        <v>3</v>
      </c>
      <c r="C3" s="250"/>
      <c r="D3" s="250"/>
      <c r="E3" s="250"/>
      <c r="F3" s="250"/>
      <c r="G3" s="250"/>
      <c r="H3" s="250"/>
      <c r="I3" s="250"/>
      <c r="J3" s="250"/>
    </row>
    <row r="4" customFormat="false" ht="15" hidden="false" customHeight="true" outlineLevel="0" collapsed="false">
      <c r="B4" s="251"/>
      <c r="C4" s="251"/>
      <c r="D4" s="27"/>
    </row>
    <row r="5" customFormat="false" ht="15" hidden="false" customHeight="true" outlineLevel="0" collapsed="false">
      <c r="B5" s="252" t="s">
        <v>276</v>
      </c>
      <c r="C5" s="252"/>
      <c r="D5" s="252"/>
      <c r="E5" s="252"/>
      <c r="F5" s="253"/>
      <c r="G5" s="253"/>
      <c r="H5" s="253"/>
      <c r="I5" s="253"/>
      <c r="J5" s="254"/>
    </row>
    <row r="6" customFormat="false" ht="15" hidden="false" customHeight="true" outlineLevel="0" collapsed="false">
      <c r="B6" s="255"/>
      <c r="C6" s="2"/>
      <c r="D6" s="141"/>
      <c r="E6" s="141"/>
      <c r="J6" s="256"/>
    </row>
    <row r="7" customFormat="false" ht="15" hidden="false" customHeight="true" outlineLevel="0" collapsed="false">
      <c r="B7" s="257" t="s">
        <v>277</v>
      </c>
      <c r="C7" s="257"/>
      <c r="D7" s="257"/>
      <c r="E7" s="257"/>
      <c r="F7" s="257"/>
      <c r="G7" s="257"/>
      <c r="H7" s="257"/>
      <c r="I7" s="257"/>
      <c r="J7" s="257"/>
    </row>
    <row r="8" customFormat="false" ht="15" hidden="false" customHeight="true" outlineLevel="0" collapsed="false">
      <c r="B8" s="258"/>
      <c r="C8" s="259"/>
      <c r="D8" s="141"/>
      <c r="E8" s="141"/>
      <c r="J8" s="256"/>
    </row>
    <row r="9" customFormat="false" ht="15" hidden="false" customHeight="true" outlineLevel="0" collapsed="false">
      <c r="B9" s="260" t="s">
        <v>278</v>
      </c>
      <c r="C9" s="260"/>
      <c r="D9" s="260"/>
      <c r="E9" s="260"/>
      <c r="F9" s="260"/>
      <c r="G9" s="260"/>
      <c r="H9" s="260"/>
      <c r="I9" s="260"/>
      <c r="J9" s="260"/>
    </row>
    <row r="10" customFormat="false" ht="15" hidden="false" customHeight="true" outlineLevel="0" collapsed="false">
      <c r="B10" s="261" t="s">
        <v>279</v>
      </c>
      <c r="C10" s="261"/>
      <c r="D10" s="261"/>
      <c r="E10" s="261"/>
      <c r="F10" s="261"/>
      <c r="G10" s="261"/>
      <c r="H10" s="261"/>
      <c r="I10" s="261"/>
      <c r="J10" s="261"/>
    </row>
    <row r="11" customFormat="false" ht="15" hidden="false" customHeight="true" outlineLevel="0" collapsed="false">
      <c r="B11" s="261" t="s">
        <v>280</v>
      </c>
      <c r="C11" s="261"/>
      <c r="D11" s="261"/>
      <c r="E11" s="261"/>
      <c r="F11" s="261"/>
      <c r="G11" s="261"/>
      <c r="H11" s="261"/>
      <c r="I11" s="261"/>
      <c r="J11" s="261"/>
    </row>
    <row r="12" customFormat="false" ht="15" hidden="false" customHeight="true" outlineLevel="0" collapsed="false">
      <c r="B12" s="261" t="s">
        <v>281</v>
      </c>
      <c r="C12" s="261"/>
      <c r="D12" s="261"/>
      <c r="E12" s="261"/>
      <c r="F12" s="261"/>
      <c r="G12" s="261"/>
      <c r="H12" s="261"/>
      <c r="I12" s="261"/>
      <c r="J12" s="261"/>
    </row>
    <row r="13" customFormat="false" ht="15" hidden="false" customHeight="true" outlineLevel="0" collapsed="false">
      <c r="B13" s="261" t="s">
        <v>282</v>
      </c>
      <c r="C13" s="261"/>
      <c r="D13" s="261"/>
      <c r="E13" s="261"/>
      <c r="F13" s="261"/>
      <c r="G13" s="261"/>
      <c r="H13" s="261"/>
      <c r="I13" s="261"/>
      <c r="J13" s="261"/>
    </row>
    <row r="14" customFormat="false" ht="15" hidden="false" customHeight="true" outlineLevel="0" collapsed="false">
      <c r="B14" s="261" t="s">
        <v>283</v>
      </c>
      <c r="C14" s="261"/>
      <c r="D14" s="261"/>
      <c r="E14" s="261"/>
      <c r="F14" s="261"/>
      <c r="G14" s="261"/>
      <c r="H14" s="261"/>
      <c r="I14" s="261"/>
      <c r="J14" s="261"/>
    </row>
    <row r="15" customFormat="false" ht="15" hidden="false" customHeight="true" outlineLevel="0" collapsed="false">
      <c r="B15" s="261" t="s">
        <v>284</v>
      </c>
      <c r="C15" s="261"/>
      <c r="D15" s="261"/>
      <c r="E15" s="261"/>
      <c r="F15" s="261"/>
      <c r="G15" s="261"/>
      <c r="H15" s="261"/>
      <c r="I15" s="261"/>
      <c r="J15" s="261"/>
    </row>
    <row r="16" customFormat="false" ht="15" hidden="false" customHeight="true" outlineLevel="0" collapsed="false">
      <c r="B16" s="262" t="s">
        <v>285</v>
      </c>
      <c r="C16" s="262"/>
      <c r="D16" s="262"/>
      <c r="E16" s="262"/>
      <c r="F16" s="262"/>
      <c r="G16" s="262"/>
      <c r="H16" s="262"/>
      <c r="I16" s="262"/>
      <c r="J16" s="262"/>
    </row>
    <row r="17" customFormat="false" ht="24.75" hidden="false" customHeight="true" outlineLevel="0" collapsed="false">
      <c r="D17" s="27"/>
    </row>
    <row r="18" customFormat="false" ht="14.25" hidden="false" customHeight="true" outlineLevel="0" collapsed="false">
      <c r="B18" s="38" t="s">
        <v>286</v>
      </c>
      <c r="C18" s="38"/>
      <c r="D18" s="263" t="s">
        <v>246</v>
      </c>
      <c r="E18" s="263" t="s">
        <v>246</v>
      </c>
      <c r="F18" s="263" t="s">
        <v>246</v>
      </c>
      <c r="G18" s="264" t="s">
        <v>246</v>
      </c>
      <c r="H18" s="265" t="s">
        <v>246</v>
      </c>
      <c r="I18" s="265" t="s">
        <v>246</v>
      </c>
      <c r="J18" s="265" t="s">
        <v>246</v>
      </c>
    </row>
    <row r="19" customFormat="false" ht="14.25" hidden="false" customHeight="false" outlineLevel="0" collapsed="false">
      <c r="B19" s="38"/>
      <c r="C19" s="38"/>
      <c r="D19" s="266" t="n">
        <v>0.05</v>
      </c>
      <c r="E19" s="266" t="n">
        <v>0.04</v>
      </c>
      <c r="F19" s="266" t="n">
        <v>0.035</v>
      </c>
      <c r="G19" s="267" t="n">
        <v>0.03</v>
      </c>
      <c r="H19" s="268" t="n">
        <v>0.025</v>
      </c>
      <c r="I19" s="268" t="n">
        <v>0.02</v>
      </c>
      <c r="J19" s="268" t="n">
        <v>0.015</v>
      </c>
    </row>
    <row r="20" customFormat="false" ht="15" hidden="false" customHeight="true" outlineLevel="0" collapsed="false">
      <c r="B20" s="269" t="s">
        <v>287</v>
      </c>
      <c r="C20" s="270" t="s">
        <v>288</v>
      </c>
      <c r="D20" s="271" t="n">
        <v>0.04</v>
      </c>
      <c r="E20" s="271" t="n">
        <v>0.04</v>
      </c>
      <c r="F20" s="271" t="n">
        <v>0.04</v>
      </c>
      <c r="G20" s="271" t="n">
        <v>0.04</v>
      </c>
      <c r="H20" s="271" t="n">
        <v>0.04</v>
      </c>
      <c r="I20" s="271" t="n">
        <v>0.04</v>
      </c>
      <c r="J20" s="271" t="n">
        <v>0.04</v>
      </c>
    </row>
    <row r="21" customFormat="false" ht="15" hidden="false" customHeight="true" outlineLevel="0" collapsed="false">
      <c r="B21" s="269" t="s">
        <v>289</v>
      </c>
      <c r="C21" s="243" t="s">
        <v>290</v>
      </c>
      <c r="D21" s="272" t="n">
        <v>0.0123</v>
      </c>
      <c r="E21" s="272" t="n">
        <v>0.0123</v>
      </c>
      <c r="F21" s="272" t="n">
        <v>0.0123</v>
      </c>
      <c r="G21" s="272" t="n">
        <v>0.0123</v>
      </c>
      <c r="H21" s="272" t="n">
        <v>0.0123</v>
      </c>
      <c r="I21" s="272" t="n">
        <v>0.0123</v>
      </c>
      <c r="J21" s="272" t="n">
        <v>0.0123</v>
      </c>
    </row>
    <row r="22" customFormat="false" ht="15" hidden="false" customHeight="true" outlineLevel="0" collapsed="false">
      <c r="B22" s="269" t="s">
        <v>291</v>
      </c>
      <c r="C22" s="243" t="s">
        <v>292</v>
      </c>
      <c r="D22" s="272" t="n">
        <v>0.008</v>
      </c>
      <c r="E22" s="272" t="n">
        <v>0.008</v>
      </c>
      <c r="F22" s="272" t="n">
        <v>0.008</v>
      </c>
      <c r="G22" s="272" t="n">
        <v>0.008</v>
      </c>
      <c r="H22" s="272" t="n">
        <v>0.008</v>
      </c>
      <c r="I22" s="272" t="n">
        <v>0.008</v>
      </c>
      <c r="J22" s="272" t="n">
        <v>0.008</v>
      </c>
    </row>
    <row r="23" customFormat="false" ht="15" hidden="false" customHeight="true" outlineLevel="0" collapsed="false">
      <c r="B23" s="269" t="s">
        <v>293</v>
      </c>
      <c r="C23" s="243" t="s">
        <v>294</v>
      </c>
      <c r="D23" s="272" t="n">
        <v>0.0127</v>
      </c>
      <c r="E23" s="272" t="n">
        <v>0.0127</v>
      </c>
      <c r="F23" s="272" t="n">
        <v>0.0127</v>
      </c>
      <c r="G23" s="272" t="n">
        <v>0.0127</v>
      </c>
      <c r="H23" s="272" t="n">
        <v>0.0127</v>
      </c>
      <c r="I23" s="272" t="n">
        <v>0.0127</v>
      </c>
      <c r="J23" s="272" t="n">
        <v>0.0127</v>
      </c>
    </row>
    <row r="24" customFormat="false" ht="15" hidden="false" customHeight="true" outlineLevel="0" collapsed="false">
      <c r="B24" s="269" t="s">
        <v>295</v>
      </c>
      <c r="C24" s="243" t="s">
        <v>296</v>
      </c>
      <c r="D24" s="272" t="n">
        <v>0.074</v>
      </c>
      <c r="E24" s="272" t="n">
        <v>0.074</v>
      </c>
      <c r="F24" s="272" t="n">
        <v>0.074</v>
      </c>
      <c r="G24" s="272" t="n">
        <v>0.074</v>
      </c>
      <c r="H24" s="272" t="n">
        <v>0.074</v>
      </c>
      <c r="I24" s="272" t="n">
        <v>0.074</v>
      </c>
      <c r="J24" s="272" t="n">
        <v>0.074</v>
      </c>
    </row>
    <row r="25" customFormat="false" ht="15" hidden="false" customHeight="true" outlineLevel="0" collapsed="false">
      <c r="B25" s="269" t="s">
        <v>196</v>
      </c>
      <c r="C25" s="243" t="s">
        <v>297</v>
      </c>
      <c r="D25" s="272" t="n">
        <v>0.0065</v>
      </c>
      <c r="E25" s="272" t="n">
        <v>0.0065</v>
      </c>
      <c r="F25" s="272" t="n">
        <v>0.0065</v>
      </c>
      <c r="G25" s="272" t="n">
        <v>0.0065</v>
      </c>
      <c r="H25" s="272" t="n">
        <v>0.0065</v>
      </c>
      <c r="I25" s="272" t="n">
        <v>0.0065</v>
      </c>
      <c r="J25" s="272" t="n">
        <v>0.0065</v>
      </c>
    </row>
    <row r="26" customFormat="false" ht="15" hidden="false" customHeight="true" outlineLevel="0" collapsed="false">
      <c r="B26" s="269"/>
      <c r="C26" s="269" t="s">
        <v>298</v>
      </c>
      <c r="D26" s="273" t="n">
        <v>0.03</v>
      </c>
      <c r="E26" s="273" t="n">
        <v>0.03</v>
      </c>
      <c r="F26" s="273" t="n">
        <v>0.03</v>
      </c>
      <c r="G26" s="273" t="n">
        <v>0.03</v>
      </c>
      <c r="H26" s="273" t="n">
        <v>0.03</v>
      </c>
      <c r="I26" s="273" t="n">
        <v>0.03</v>
      </c>
      <c r="J26" s="273" t="n">
        <v>0.03</v>
      </c>
    </row>
    <row r="27" customFormat="false" ht="15" hidden="false" customHeight="true" outlineLevel="0" collapsed="false">
      <c r="B27" s="269"/>
      <c r="C27" s="269" t="s">
        <v>246</v>
      </c>
      <c r="D27" s="273" t="n">
        <v>0.05</v>
      </c>
      <c r="E27" s="273" t="n">
        <v>0.04</v>
      </c>
      <c r="F27" s="272" t="n">
        <v>0.035</v>
      </c>
      <c r="G27" s="273" t="n">
        <v>0.03</v>
      </c>
      <c r="H27" s="273" t="n">
        <v>0.025</v>
      </c>
      <c r="I27" s="273" t="n">
        <v>0.02</v>
      </c>
      <c r="J27" s="272" t="n">
        <v>0.015</v>
      </c>
    </row>
    <row r="28" customFormat="false" ht="15" hidden="false" customHeight="true" outlineLevel="0" collapsed="false">
      <c r="B28" s="269"/>
      <c r="C28" s="269" t="s">
        <v>299</v>
      </c>
      <c r="D28" s="273" t="n">
        <v>0.036</v>
      </c>
      <c r="E28" s="273" t="n">
        <v>0.036</v>
      </c>
      <c r="F28" s="273" t="n">
        <v>0.036</v>
      </c>
      <c r="G28" s="273" t="n">
        <v>0.036</v>
      </c>
      <c r="H28" s="273" t="n">
        <v>0.036</v>
      </c>
      <c r="I28" s="273" t="n">
        <v>0.036</v>
      </c>
      <c r="J28" s="273" t="n">
        <v>0.036</v>
      </c>
    </row>
    <row r="29" customFormat="false" ht="19.5" hidden="false" customHeight="true" outlineLevel="0" collapsed="false">
      <c r="B29" s="139" t="s">
        <v>300</v>
      </c>
      <c r="C29" s="139"/>
      <c r="D29" s="42" t="n">
        <f aca="false">(((1+D22+D20+D23)*(1+D21)*(1+D24))/(1-(D25+D26+D27+D28))-1)</f>
        <v>0.314192432068376</v>
      </c>
      <c r="E29" s="42" t="n">
        <f aca="false">(((1+E22+E20+E23)*(1+E21)*(1+E24))/(1-(E25+E26+E27+E28))-1)</f>
        <v>0.299384630016901</v>
      </c>
      <c r="F29" s="42" t="n">
        <f aca="false">(((1+F22+F20+F23)*(1+F21)*(1+F24))/(1-(F25+F26+F27+F28))-1)</f>
        <v>0.292105164302521</v>
      </c>
      <c r="G29" s="42" t="n">
        <f aca="false">(((1+G22+G20+G23)*(1+G21)*(1+G24))/(1-(G25+G26+G27+G28))-1)</f>
        <v>0.284906806841226</v>
      </c>
      <c r="H29" s="42" t="n">
        <f aca="false">(((1+H22+H20+H23)*(1+H21)*(1+H24))/(1-(H25+H26+H27+H28))-1)</f>
        <v>0.277788209573407</v>
      </c>
      <c r="I29" s="42" t="n">
        <f aca="false">(((1+I22+I20+I23)*(1+I21)*(1+I24))/(1-(I25+I26+I27+I28))-1)</f>
        <v>0.27074805414876</v>
      </c>
      <c r="J29" s="42" t="n">
        <f aca="false">(((1+J22+J20+J23)*(1+J21)*(1+J24))/(1-(J25+J26+J27+J28))-1)</f>
        <v>0.263785051112329</v>
      </c>
    </row>
    <row r="30" customFormat="false" ht="19.5" hidden="false" customHeight="true" outlineLevel="0" collapsed="false">
      <c r="B30" s="274" t="s">
        <v>301</v>
      </c>
      <c r="C30" s="274"/>
      <c r="D30" s="275" t="n">
        <f aca="false">ROUND(D29,4)</f>
        <v>0.3142</v>
      </c>
      <c r="E30" s="275" t="n">
        <f aca="false">ROUND(E29,4)</f>
        <v>0.2994</v>
      </c>
      <c r="F30" s="275" t="n">
        <f aca="false">ROUND(F29,4)</f>
        <v>0.2921</v>
      </c>
      <c r="G30" s="275" t="n">
        <f aca="false">ROUND(G29,4)</f>
        <v>0.2849</v>
      </c>
      <c r="H30" s="275" t="n">
        <f aca="false">ROUND(H29,4)</f>
        <v>0.2778</v>
      </c>
      <c r="I30" s="275" t="n">
        <f aca="false">ROUND(I29,4)</f>
        <v>0.2707</v>
      </c>
      <c r="J30" s="275" t="n">
        <f aca="false">ROUND(J29,4)</f>
        <v>0.2638</v>
      </c>
    </row>
    <row r="31" customFormat="false" ht="24.75" hidden="false" customHeight="true" outlineLevel="0" collapsed="false">
      <c r="B31" s="276"/>
      <c r="C31" s="276"/>
      <c r="D31" s="90"/>
      <c r="E31" s="90"/>
      <c r="F31" s="90"/>
      <c r="G31" s="90"/>
      <c r="H31" s="90"/>
      <c r="I31" s="90"/>
      <c r="J31" s="90"/>
    </row>
    <row r="32" customFormat="false" ht="14.25" hidden="false" customHeight="true" outlineLevel="0" collapsed="false">
      <c r="B32" s="38" t="s">
        <v>302</v>
      </c>
      <c r="C32" s="38"/>
      <c r="D32" s="263" t="s">
        <v>246</v>
      </c>
      <c r="E32" s="263" t="s">
        <v>246</v>
      </c>
      <c r="F32" s="263" t="s">
        <v>246</v>
      </c>
      <c r="G32" s="264" t="s">
        <v>246</v>
      </c>
      <c r="H32" s="265" t="s">
        <v>246</v>
      </c>
      <c r="I32" s="265" t="s">
        <v>246</v>
      </c>
      <c r="J32" s="265" t="s">
        <v>246</v>
      </c>
    </row>
    <row r="33" customFormat="false" ht="14.25" hidden="false" customHeight="false" outlineLevel="0" collapsed="false">
      <c r="B33" s="38"/>
      <c r="C33" s="38"/>
      <c r="D33" s="277" t="n">
        <v>0.05</v>
      </c>
      <c r="E33" s="277" t="n">
        <v>0.04</v>
      </c>
      <c r="F33" s="277" t="n">
        <v>0.035</v>
      </c>
      <c r="G33" s="278" t="n">
        <v>0.03</v>
      </c>
      <c r="H33" s="279" t="n">
        <v>0.025</v>
      </c>
      <c r="I33" s="279" t="n">
        <v>0.02</v>
      </c>
      <c r="J33" s="279" t="n">
        <v>0.015</v>
      </c>
    </row>
    <row r="34" customFormat="false" ht="15" hidden="false" customHeight="true" outlineLevel="0" collapsed="false">
      <c r="B34" s="269" t="s">
        <v>287</v>
      </c>
      <c r="C34" s="270" t="s">
        <v>288</v>
      </c>
      <c r="D34" s="272" t="n">
        <v>0.0345</v>
      </c>
      <c r="E34" s="272" t="n">
        <v>0.0345</v>
      </c>
      <c r="F34" s="272" t="n">
        <v>0.0345</v>
      </c>
      <c r="G34" s="272" t="n">
        <v>0.0345</v>
      </c>
      <c r="H34" s="272" t="n">
        <v>0.0345</v>
      </c>
      <c r="I34" s="272" t="n">
        <v>0.0345</v>
      </c>
      <c r="J34" s="272" t="n">
        <v>0.0345</v>
      </c>
    </row>
    <row r="35" customFormat="false" ht="15" hidden="false" customHeight="true" outlineLevel="0" collapsed="false">
      <c r="B35" s="269" t="s">
        <v>289</v>
      </c>
      <c r="C35" s="243" t="s">
        <v>290</v>
      </c>
      <c r="D35" s="272" t="n">
        <v>0.0085</v>
      </c>
      <c r="E35" s="272" t="n">
        <v>0.0085</v>
      </c>
      <c r="F35" s="272" t="n">
        <v>0.0085</v>
      </c>
      <c r="G35" s="272" t="n">
        <v>0.0085</v>
      </c>
      <c r="H35" s="272" t="n">
        <v>0.0085</v>
      </c>
      <c r="I35" s="272" t="n">
        <v>0.0085</v>
      </c>
      <c r="J35" s="272" t="n">
        <v>0.0085</v>
      </c>
    </row>
    <row r="36" customFormat="false" ht="15" hidden="false" customHeight="true" outlineLevel="0" collapsed="false">
      <c r="B36" s="269" t="s">
        <v>291</v>
      </c>
      <c r="C36" s="243" t="s">
        <v>292</v>
      </c>
      <c r="D36" s="272" t="n">
        <v>0.0048</v>
      </c>
      <c r="E36" s="272" t="n">
        <v>0.0048</v>
      </c>
      <c r="F36" s="272" t="n">
        <v>0.0048</v>
      </c>
      <c r="G36" s="272" t="n">
        <v>0.0048</v>
      </c>
      <c r="H36" s="272" t="n">
        <v>0.0048</v>
      </c>
      <c r="I36" s="272" t="n">
        <v>0.0048</v>
      </c>
      <c r="J36" s="272" t="n">
        <v>0.0048</v>
      </c>
    </row>
    <row r="37" customFormat="false" ht="15" hidden="false" customHeight="true" outlineLevel="0" collapsed="false">
      <c r="B37" s="269" t="s">
        <v>293</v>
      </c>
      <c r="C37" s="243" t="s">
        <v>294</v>
      </c>
      <c r="D37" s="272" t="n">
        <v>0.0085</v>
      </c>
      <c r="E37" s="272" t="n">
        <v>0.0085</v>
      </c>
      <c r="F37" s="272" t="n">
        <v>0.0085</v>
      </c>
      <c r="G37" s="272" t="n">
        <v>0.0085</v>
      </c>
      <c r="H37" s="272" t="n">
        <v>0.0085</v>
      </c>
      <c r="I37" s="272" t="n">
        <v>0.0085</v>
      </c>
      <c r="J37" s="272" t="n">
        <v>0.0085</v>
      </c>
    </row>
    <row r="38" customFormat="false" ht="15" hidden="false" customHeight="true" outlineLevel="0" collapsed="false">
      <c r="B38" s="269" t="s">
        <v>295</v>
      </c>
      <c r="C38" s="243" t="s">
        <v>296</v>
      </c>
      <c r="D38" s="272" t="n">
        <v>0.0511</v>
      </c>
      <c r="E38" s="272" t="n">
        <v>0.0511</v>
      </c>
      <c r="F38" s="272" t="n">
        <v>0.0511</v>
      </c>
      <c r="G38" s="272" t="n">
        <v>0.0511</v>
      </c>
      <c r="H38" s="272" t="n">
        <v>0.0511</v>
      </c>
      <c r="I38" s="272" t="n">
        <v>0.0511</v>
      </c>
      <c r="J38" s="272" t="n">
        <v>0.0511</v>
      </c>
    </row>
    <row r="39" customFormat="false" ht="15" hidden="false" customHeight="true" outlineLevel="0" collapsed="false">
      <c r="B39" s="269" t="s">
        <v>196</v>
      </c>
      <c r="C39" s="243" t="s">
        <v>297</v>
      </c>
      <c r="D39" s="272" t="n">
        <v>0.0065</v>
      </c>
      <c r="E39" s="272" t="n">
        <v>0.0065</v>
      </c>
      <c r="F39" s="272" t="n">
        <v>0.0065</v>
      </c>
      <c r="G39" s="272" t="n">
        <v>0.0065</v>
      </c>
      <c r="H39" s="272" t="n">
        <v>0.0065</v>
      </c>
      <c r="I39" s="272" t="n">
        <v>0.0065</v>
      </c>
      <c r="J39" s="272" t="n">
        <v>0.0065</v>
      </c>
    </row>
    <row r="40" customFormat="false" ht="15" hidden="false" customHeight="true" outlineLevel="0" collapsed="false">
      <c r="B40" s="269"/>
      <c r="C40" s="269" t="s">
        <v>298</v>
      </c>
      <c r="D40" s="273" t="n">
        <v>0.03</v>
      </c>
      <c r="E40" s="273" t="n">
        <v>0.03</v>
      </c>
      <c r="F40" s="273" t="n">
        <v>0.03</v>
      </c>
      <c r="G40" s="273" t="n">
        <v>0.03</v>
      </c>
      <c r="H40" s="273" t="n">
        <v>0.03</v>
      </c>
      <c r="I40" s="273" t="n">
        <v>0.03</v>
      </c>
      <c r="J40" s="273" t="n">
        <v>0.03</v>
      </c>
    </row>
    <row r="41" customFormat="false" ht="15" hidden="false" customHeight="true" outlineLevel="0" collapsed="false">
      <c r="B41" s="269"/>
      <c r="C41" s="269" t="s">
        <v>246</v>
      </c>
      <c r="D41" s="273" t="n">
        <v>0</v>
      </c>
      <c r="E41" s="273" t="n">
        <v>0</v>
      </c>
      <c r="F41" s="272" t="n">
        <v>0</v>
      </c>
      <c r="G41" s="273" t="n">
        <v>0</v>
      </c>
      <c r="H41" s="273" t="n">
        <v>0</v>
      </c>
      <c r="I41" s="273" t="n">
        <v>0</v>
      </c>
      <c r="J41" s="272" t="n">
        <v>0</v>
      </c>
    </row>
    <row r="42" customFormat="false" ht="15" hidden="false" customHeight="true" outlineLevel="0" collapsed="false">
      <c r="B42" s="269"/>
      <c r="C42" s="269" t="s">
        <v>299</v>
      </c>
      <c r="D42" s="273" t="n">
        <v>0.036</v>
      </c>
      <c r="E42" s="273" t="n">
        <v>0.036</v>
      </c>
      <c r="F42" s="273" t="n">
        <v>0.036</v>
      </c>
      <c r="G42" s="273" t="n">
        <v>0.036</v>
      </c>
      <c r="H42" s="273" t="n">
        <v>0.036</v>
      </c>
      <c r="I42" s="273" t="n">
        <v>0.036</v>
      </c>
      <c r="J42" s="273" t="n">
        <v>0.036</v>
      </c>
    </row>
    <row r="43" customFormat="false" ht="19.5" hidden="false" customHeight="true" outlineLevel="0" collapsed="false">
      <c r="B43" s="94" t="s">
        <v>300</v>
      </c>
      <c r="C43" s="94"/>
      <c r="D43" s="42" t="n">
        <f aca="false">(((1+D36+D34+D37)*(1+D35)*(1+D38))/(1-(D39+D40+D41+D42))-1)</f>
        <v>0.197524519601078</v>
      </c>
      <c r="E43" s="42" t="n">
        <f aca="false">(((1+E36+E34+E37)*(1+E35)*(1+E38))/(1-(E39+E40+E41+E42))-1)</f>
        <v>0.197524519601078</v>
      </c>
      <c r="F43" s="42" t="n">
        <f aca="false">(((1+F36+F34+F37)*(1+F35)*(1+F38))/(1-(F39+F40+F41+F42))-1)</f>
        <v>0.197524519601078</v>
      </c>
      <c r="G43" s="42" t="n">
        <f aca="false">(((1+G36+G34+G37)*(1+G35)*(1+G38))/(1-(G39+G40+G41+G42))-1)</f>
        <v>0.197524519601078</v>
      </c>
      <c r="H43" s="42" t="n">
        <f aca="false">(((1+H36+H34+H37)*(1+H35)*(1+H38))/(1-(H39+H40+H41+H42))-1)</f>
        <v>0.197524519601078</v>
      </c>
      <c r="I43" s="42" t="n">
        <f aca="false">(((1+I36+I34+I37)*(1+I35)*(1+I38))/(1-(I39+I40+I41+I42))-1)</f>
        <v>0.197524519601078</v>
      </c>
      <c r="J43" s="42" t="n">
        <f aca="false">(((1+J36+J34+J37)*(1+J35)*(1+J38))/(1-(J39+J40+J41+J42))-1)</f>
        <v>0.197524519601078</v>
      </c>
    </row>
    <row r="44" customFormat="false" ht="19.5" hidden="false" customHeight="true" outlineLevel="0" collapsed="false">
      <c r="B44" s="280" t="s">
        <v>301</v>
      </c>
      <c r="C44" s="280"/>
      <c r="D44" s="275" t="n">
        <f aca="false">ROUND(D43,4)</f>
        <v>0.1975</v>
      </c>
      <c r="E44" s="275" t="n">
        <f aca="false">ROUND(E43,4)</f>
        <v>0.1975</v>
      </c>
      <c r="F44" s="275" t="n">
        <f aca="false">ROUND(F43,4)</f>
        <v>0.1975</v>
      </c>
      <c r="G44" s="275" t="n">
        <f aca="false">ROUND(G43,4)</f>
        <v>0.1975</v>
      </c>
      <c r="H44" s="275" t="n">
        <f aca="false">ROUND(H43,4)</f>
        <v>0.1975</v>
      </c>
      <c r="I44" s="275" t="n">
        <f aca="false">ROUND(I43,4)</f>
        <v>0.1975</v>
      </c>
      <c r="J44" s="275" t="n">
        <f aca="false">ROUND(J43,4)</f>
        <v>0.1975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2:AMD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ColWidth="8.37890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23" width="9.12"/>
    <col collapsed="false" customWidth="true" hidden="false" outlineLevel="0" max="4" min="4" style="23" width="12.25"/>
    <col collapsed="false" customWidth="true" hidden="false" outlineLevel="0" max="5" min="5" style="23" width="13.62"/>
    <col collapsed="false" customWidth="true" hidden="false" outlineLevel="0" max="6" min="6" style="23" width="7"/>
    <col collapsed="false" customWidth="true" hidden="false" outlineLevel="0" max="7" min="7" style="23" width="11.88"/>
    <col collapsed="false" customWidth="true" hidden="false" outlineLevel="0" max="8" min="8" style="23" width="13.25"/>
    <col collapsed="false" customWidth="true" hidden="false" outlineLevel="0" max="9" min="9" style="23" width="12.76"/>
    <col collapsed="false" customWidth="true" hidden="false" outlineLevel="0" max="11" min="10" style="23" width="13"/>
    <col collapsed="false" customWidth="true" hidden="false" outlineLevel="0" max="13" min="12" style="23" width="9.25"/>
    <col collapsed="false" customWidth="true" hidden="false" outlineLevel="0" max="248" min="14" style="23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50" t="str">
        <f aca="false">"DIVISÃO DOS CUSTOS POR ALÍQUOTA DE ISSQN - "&amp;'Valor da Contratação'!B7&amp;""</f>
        <v>DIVISÃO DOS CUSTOS POR ALÍQUOTA DE ISSQN - POLO IV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customFormat="false" ht="16.5" hidden="false" customHeight="true" outlineLevel="0" collapsed="false"/>
    <row r="4" customFormat="false" ht="45.75" hidden="false" customHeight="true" outlineLevel="0" collapsed="false">
      <c r="B4" s="281" t="s">
        <v>41</v>
      </c>
      <c r="C4" s="282" t="s">
        <v>303</v>
      </c>
      <c r="D4" s="282" t="s">
        <v>304</v>
      </c>
      <c r="E4" s="282" t="s">
        <v>305</v>
      </c>
      <c r="F4" s="283"/>
      <c r="G4" s="282" t="s">
        <v>306</v>
      </c>
      <c r="H4" s="282" t="s">
        <v>307</v>
      </c>
      <c r="I4" s="282" t="s">
        <v>308</v>
      </c>
      <c r="J4" s="282" t="s">
        <v>309</v>
      </c>
      <c r="K4" s="282" t="s">
        <v>310</v>
      </c>
      <c r="L4" s="282" t="s">
        <v>311</v>
      </c>
      <c r="M4" s="282" t="s">
        <v>312</v>
      </c>
    </row>
    <row r="5" customFormat="false" ht="15" hidden="false" customHeight="true" outlineLevel="0" collapsed="false">
      <c r="B5" s="70" t="s">
        <v>81</v>
      </c>
      <c r="C5" s="284" t="n">
        <f aca="false">VLOOKUP(B5,Unidades!$D$5:$G$24,4,)</f>
        <v>0.03</v>
      </c>
      <c r="D5" s="285" t="n">
        <f aca="false">'Base Blumenau'!AD7*12+'Base Blumenau'!AE7*4+'Base Blumenau'!AF7*2+'Base Blumenau'!AG7</f>
        <v>12555.0655127497</v>
      </c>
      <c r="E5" s="285" t="n">
        <f aca="false">'Base Blumenau'!AK7*12+'Base Blumenau'!AL7*4+'Base Blumenau'!AM7*2+'Base Blumenau'!AN7</f>
        <v>16132.0036773321</v>
      </c>
      <c r="G5" s="273" t="n">
        <v>0.015</v>
      </c>
      <c r="H5" s="286" t="n">
        <f aca="false">SUMIF(C$5:C$24,G5,D$5:D$24)</f>
        <v>0</v>
      </c>
      <c r="I5" s="286" t="n">
        <f aca="false">SUMIF(C$5:C$24,G5,E$5:E$24)</f>
        <v>0</v>
      </c>
      <c r="J5" s="286" t="n">
        <f aca="false">H5*4</f>
        <v>0</v>
      </c>
      <c r="K5" s="286" t="n">
        <f aca="false">I5*4</f>
        <v>0</v>
      </c>
      <c r="L5" s="287" t="n">
        <f aca="false">H5/H$14</f>
        <v>0</v>
      </c>
      <c r="M5" s="287" t="n">
        <f aca="false">I5/I$14</f>
        <v>0</v>
      </c>
    </row>
    <row r="6" customFormat="false" ht="15" hidden="false" customHeight="true" outlineLevel="0" collapsed="false">
      <c r="B6" s="70" t="s">
        <v>83</v>
      </c>
      <c r="C6" s="284" t="n">
        <f aca="false">VLOOKUP(B6,Unidades!$D$5:$G$24,4,)</f>
        <v>0.02</v>
      </c>
      <c r="D6" s="285" t="n">
        <f aca="false">'Base Blumenau'!AD8*12+'Base Blumenau'!AE8*4+'Base Blumenau'!AF8*2+'Base Blumenau'!AG8</f>
        <v>15588.1443088699</v>
      </c>
      <c r="E6" s="285" t="n">
        <f aca="false">'Base Blumenau'!AK8*12+'Base Blumenau'!AL8*4+'Base Blumenau'!AM8*2+'Base Blumenau'!AN8</f>
        <v>19807.854973281</v>
      </c>
      <c r="G6" s="273" t="n">
        <v>0.02</v>
      </c>
      <c r="H6" s="286" t="n">
        <f aca="false">SUMIF(C$5:C$24,G6,D$5:D$24)</f>
        <v>162115.861650076</v>
      </c>
      <c r="I6" s="286" t="n">
        <f aca="false">SUMIF(C$5:C$24,G6,E$5:E$24)</f>
        <v>206000.625398751</v>
      </c>
      <c r="J6" s="286" t="n">
        <f aca="false">H6*4</f>
        <v>648463.446600303</v>
      </c>
      <c r="K6" s="286" t="n">
        <f aca="false">I6*4</f>
        <v>824002.501595005</v>
      </c>
      <c r="L6" s="287" t="n">
        <f aca="false">H6/H$14</f>
        <v>0.583003460956531</v>
      </c>
      <c r="M6" s="287" t="n">
        <f aca="false">I6/I$14</f>
        <v>0.578622425940864</v>
      </c>
    </row>
    <row r="7" customFormat="false" ht="15" hidden="false" customHeight="true" outlineLevel="0" collapsed="false">
      <c r="B7" s="70" t="s">
        <v>85</v>
      </c>
      <c r="C7" s="284" t="n">
        <f aca="false">VLOOKUP(B7,Unidades!$D$5:$G$24,4,)</f>
        <v>0.04</v>
      </c>
      <c r="D7" s="285" t="n">
        <f aca="false">'Base Blumenau'!AD9*12+'Base Blumenau'!AE9*4+'Base Blumenau'!AF9*2+'Base Blumenau'!AG9</f>
        <v>12819.565808317</v>
      </c>
      <c r="E7" s="285" t="n">
        <f aca="false">'Base Blumenau'!AK9*12+'Base Blumenau'!AL9*4+'Base Blumenau'!AM9*2+'Base Blumenau'!AN9</f>
        <v>16657.7438113271</v>
      </c>
      <c r="G7" s="273" t="n">
        <v>0.025</v>
      </c>
      <c r="H7" s="286" t="n">
        <f aca="false">SUMIF(C$5:C$24,G7,D$5:D$24)</f>
        <v>0</v>
      </c>
      <c r="I7" s="286" t="n">
        <f aca="false">SUMIF(C$5:C$24,G7,E$5:E$24)</f>
        <v>0</v>
      </c>
      <c r="J7" s="286" t="n">
        <f aca="false">H7*4</f>
        <v>0</v>
      </c>
      <c r="K7" s="286" t="n">
        <f aca="false">I7*4</f>
        <v>0</v>
      </c>
      <c r="L7" s="287" t="n">
        <f aca="false">H7/H$14</f>
        <v>0</v>
      </c>
      <c r="M7" s="287" t="n">
        <f aca="false">I7/I$14</f>
        <v>0</v>
      </c>
    </row>
    <row r="8" customFormat="false" ht="15" hidden="false" customHeight="true" outlineLevel="0" collapsed="false">
      <c r="B8" s="70" t="s">
        <v>86</v>
      </c>
      <c r="C8" s="284" t="n">
        <f aca="false">VLOOKUP(B8,Unidades!$D$5:$G$24,4,)</f>
        <v>0.03</v>
      </c>
      <c r="D8" s="285" t="n">
        <f aca="false">'Base Blumenau'!AD10*12+'Base Blumenau'!AE10*4+'Base Blumenau'!AF10*2+'Base Blumenau'!AG10</f>
        <v>10025.2499256332</v>
      </c>
      <c r="E8" s="285" t="n">
        <f aca="false">'Base Blumenau'!AK10*12+'Base Blumenau'!AL10*4+'Base Blumenau'!AM10*2+'Base Blumenau'!AN10</f>
        <v>12881.4436294461</v>
      </c>
      <c r="G8" s="273" t="n">
        <v>0.03</v>
      </c>
      <c r="H8" s="286" t="n">
        <f aca="false">SUMIF(C$5:C$24,G8,D$5:D$24)</f>
        <v>57326.8626187819</v>
      </c>
      <c r="I8" s="286" t="n">
        <f aca="false">SUMIF(C$5:C$24,G8,E$5:E$24)</f>
        <v>73659.2857788729</v>
      </c>
      <c r="J8" s="286" t="n">
        <f aca="false">H8*4</f>
        <v>229307.450475128</v>
      </c>
      <c r="K8" s="286" t="n">
        <f aca="false">I8*4</f>
        <v>294637.143115492</v>
      </c>
      <c r="L8" s="287" t="n">
        <f aca="false">H8/H$14</f>
        <v>0.206159711778664</v>
      </c>
      <c r="M8" s="287" t="n">
        <f aca="false">I8/I$14</f>
        <v>0.206897015715085</v>
      </c>
    </row>
    <row r="9" customFormat="false" ht="15" hidden="false" customHeight="true" outlineLevel="0" collapsed="false">
      <c r="A9" s="32"/>
      <c r="B9" s="70" t="s">
        <v>87</v>
      </c>
      <c r="C9" s="284" t="n">
        <f aca="false">VLOOKUP(B9,Unidades!$D$5:$G$24,4,)</f>
        <v>0.02</v>
      </c>
      <c r="D9" s="285" t="n">
        <f aca="false">'Base Blumenau'!AD11*12+'Base Blumenau'!AE11*4+'Base Blumenau'!AF11*2+'Base Blumenau'!AG11</f>
        <v>15201.0419898917</v>
      </c>
      <c r="E9" s="285" t="n">
        <f aca="false">'Base Blumenau'!AK11*12+'Base Blumenau'!AL11*4+'Base Blumenau'!AM11*2+'Base Blumenau'!AN11</f>
        <v>19315.9640565553</v>
      </c>
      <c r="F9" s="32"/>
      <c r="G9" s="273" t="n">
        <v>0.035</v>
      </c>
      <c r="H9" s="286" t="n">
        <f aca="false">SUMIF(C$5:C$24,G9,D$5:D$24)</f>
        <v>22591.209715292</v>
      </c>
      <c r="I9" s="286" t="n">
        <f aca="false">SUMIF(C$5:C$24,G9,E$5:E$24)</f>
        <v>29190.1020731289</v>
      </c>
      <c r="J9" s="286" t="n">
        <f aca="false">H9*4</f>
        <v>90364.8388611682</v>
      </c>
      <c r="K9" s="286" t="n">
        <f aca="false">I9*4</f>
        <v>116760.408292515</v>
      </c>
      <c r="L9" s="287" t="n">
        <f aca="false">H9/H$14</f>
        <v>0.0812428427246614</v>
      </c>
      <c r="M9" s="287" t="n">
        <f aca="false">I9/I$14</f>
        <v>0.0819902737786429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9"/>
      <c r="IP9" s="32"/>
      <c r="IQ9" s="32"/>
      <c r="IR9" s="32"/>
      <c r="IS9" s="32"/>
      <c r="IT9" s="32"/>
      <c r="IU9" s="32"/>
      <c r="IV9" s="32"/>
      <c r="IW9" s="32"/>
      <c r="IX9" s="32"/>
      <c r="IY9" s="32"/>
      <c r="IZ9" s="32"/>
      <c r="JA9" s="32"/>
      <c r="JB9" s="32"/>
      <c r="JC9" s="32"/>
      <c r="JD9" s="32"/>
      <c r="JE9" s="32"/>
      <c r="JF9" s="32"/>
      <c r="JG9" s="32"/>
      <c r="JH9" s="32"/>
      <c r="JI9" s="32"/>
      <c r="JJ9" s="32"/>
      <c r="JK9" s="32"/>
      <c r="JL9" s="32"/>
      <c r="JM9" s="32"/>
      <c r="JN9" s="32"/>
      <c r="JO9" s="32"/>
      <c r="JP9" s="32"/>
      <c r="JQ9" s="32"/>
      <c r="JR9" s="32"/>
      <c r="JS9" s="32"/>
      <c r="JT9" s="32"/>
      <c r="JU9" s="32"/>
      <c r="JV9" s="32"/>
      <c r="JW9" s="32"/>
      <c r="JX9" s="32"/>
      <c r="JY9" s="32"/>
      <c r="JZ9" s="32"/>
      <c r="KA9" s="32"/>
      <c r="KB9" s="32"/>
      <c r="KC9" s="32"/>
      <c r="KD9" s="32"/>
      <c r="KE9" s="32"/>
      <c r="KF9" s="32"/>
      <c r="KG9" s="32"/>
      <c r="KH9" s="32"/>
      <c r="KI9" s="32"/>
      <c r="KJ9" s="32"/>
      <c r="KK9" s="32"/>
      <c r="KL9" s="32"/>
      <c r="KM9" s="32"/>
      <c r="KN9" s="32"/>
      <c r="KO9" s="32"/>
      <c r="KP9" s="32"/>
      <c r="KQ9" s="32"/>
      <c r="KR9" s="32"/>
      <c r="KS9" s="32"/>
      <c r="KT9" s="32"/>
      <c r="KU9" s="32"/>
      <c r="KV9" s="32"/>
      <c r="KW9" s="32"/>
      <c r="KX9" s="32"/>
      <c r="KY9" s="32"/>
      <c r="KZ9" s="32"/>
      <c r="LA9" s="32"/>
      <c r="LB9" s="32"/>
      <c r="LC9" s="32"/>
      <c r="LD9" s="32"/>
      <c r="LE9" s="32"/>
      <c r="LF9" s="32"/>
      <c r="LG9" s="32"/>
      <c r="LH9" s="32"/>
      <c r="LI9" s="32"/>
      <c r="LJ9" s="32"/>
      <c r="LK9" s="32"/>
      <c r="LL9" s="32"/>
      <c r="LM9" s="32"/>
      <c r="LN9" s="32"/>
      <c r="LO9" s="32"/>
      <c r="LP9" s="32"/>
      <c r="LQ9" s="32"/>
      <c r="LR9" s="32"/>
      <c r="LS9" s="32"/>
      <c r="LT9" s="32"/>
      <c r="LU9" s="32"/>
      <c r="LV9" s="32"/>
      <c r="LW9" s="32"/>
      <c r="LX9" s="32"/>
      <c r="LY9" s="32"/>
      <c r="LZ9" s="32"/>
      <c r="MA9" s="32"/>
      <c r="MB9" s="32"/>
      <c r="MC9" s="32"/>
      <c r="MD9" s="32"/>
      <c r="ME9" s="32"/>
      <c r="MF9" s="32"/>
      <c r="MG9" s="32"/>
      <c r="MH9" s="32"/>
      <c r="MI9" s="32"/>
      <c r="MJ9" s="32"/>
      <c r="MK9" s="32"/>
      <c r="ML9" s="32"/>
      <c r="MM9" s="32"/>
      <c r="MN9" s="32"/>
      <c r="MO9" s="32"/>
      <c r="MP9" s="32"/>
      <c r="MQ9" s="32"/>
      <c r="MR9" s="32"/>
      <c r="MS9" s="32"/>
      <c r="MT9" s="32"/>
      <c r="MU9" s="32"/>
      <c r="MV9" s="32"/>
      <c r="MW9" s="32"/>
      <c r="MX9" s="32"/>
      <c r="MY9" s="32"/>
      <c r="MZ9" s="32"/>
      <c r="NA9" s="32"/>
      <c r="NB9" s="32"/>
      <c r="NC9" s="32"/>
      <c r="ND9" s="32"/>
      <c r="NE9" s="32"/>
      <c r="NF9" s="32"/>
      <c r="NG9" s="32"/>
      <c r="NH9" s="32"/>
      <c r="NI9" s="32"/>
      <c r="NJ9" s="32"/>
      <c r="NK9" s="32"/>
      <c r="NL9" s="32"/>
      <c r="NM9" s="32"/>
      <c r="NN9" s="32"/>
      <c r="NO9" s="32"/>
      <c r="NP9" s="32"/>
      <c r="NQ9" s="32"/>
      <c r="NR9" s="32"/>
      <c r="NS9" s="32"/>
      <c r="NT9" s="32"/>
      <c r="NU9" s="32"/>
      <c r="NV9" s="32"/>
      <c r="NW9" s="32"/>
      <c r="NX9" s="32"/>
      <c r="NY9" s="32"/>
      <c r="NZ9" s="32"/>
      <c r="OA9" s="32"/>
      <c r="OB9" s="32"/>
      <c r="OC9" s="32"/>
      <c r="OD9" s="32"/>
      <c r="OE9" s="32"/>
      <c r="OF9" s="32"/>
      <c r="OG9" s="32"/>
      <c r="OH9" s="32"/>
      <c r="OI9" s="32"/>
      <c r="OJ9" s="32"/>
      <c r="OK9" s="32"/>
      <c r="OL9" s="32"/>
      <c r="OM9" s="32"/>
      <c r="ON9" s="32"/>
      <c r="OO9" s="32"/>
      <c r="OP9" s="32"/>
      <c r="OQ9" s="32"/>
      <c r="OR9" s="32"/>
      <c r="OS9" s="32"/>
      <c r="OT9" s="32"/>
      <c r="OU9" s="32"/>
      <c r="OV9" s="32"/>
      <c r="OW9" s="32"/>
      <c r="OX9" s="32"/>
      <c r="OY9" s="32"/>
      <c r="OZ9" s="32"/>
      <c r="PA9" s="32"/>
      <c r="PB9" s="32"/>
      <c r="PC9" s="32"/>
      <c r="PD9" s="32"/>
      <c r="PE9" s="32"/>
      <c r="PF9" s="32"/>
      <c r="PG9" s="32"/>
      <c r="PH9" s="32"/>
      <c r="PI9" s="32"/>
      <c r="PJ9" s="32"/>
      <c r="PK9" s="32"/>
      <c r="PL9" s="32"/>
      <c r="PM9" s="32"/>
      <c r="PN9" s="32"/>
      <c r="PO9" s="32"/>
      <c r="PP9" s="32"/>
      <c r="PQ9" s="32"/>
      <c r="PR9" s="32"/>
      <c r="PS9" s="32"/>
      <c r="PT9" s="32"/>
      <c r="PU9" s="32"/>
      <c r="PV9" s="32"/>
      <c r="PW9" s="32"/>
      <c r="PX9" s="32"/>
      <c r="PY9" s="32"/>
      <c r="PZ9" s="32"/>
      <c r="QA9" s="32"/>
      <c r="QB9" s="32"/>
      <c r="QC9" s="32"/>
      <c r="QD9" s="32"/>
      <c r="QE9" s="32"/>
      <c r="QF9" s="32"/>
      <c r="QG9" s="32"/>
      <c r="QH9" s="32"/>
      <c r="QI9" s="32"/>
      <c r="QJ9" s="32"/>
      <c r="QK9" s="32"/>
      <c r="QL9" s="32"/>
      <c r="QM9" s="32"/>
      <c r="QN9" s="32"/>
      <c r="QO9" s="32"/>
      <c r="QP9" s="32"/>
      <c r="QQ9" s="32"/>
      <c r="QR9" s="32"/>
      <c r="QS9" s="32"/>
      <c r="QT9" s="32"/>
      <c r="QU9" s="32"/>
      <c r="QV9" s="32"/>
      <c r="QW9" s="32"/>
      <c r="QX9" s="32"/>
      <c r="QY9" s="32"/>
      <c r="QZ9" s="32"/>
      <c r="RA9" s="32"/>
      <c r="RB9" s="32"/>
      <c r="RC9" s="32"/>
      <c r="RD9" s="32"/>
      <c r="RE9" s="32"/>
      <c r="RF9" s="32"/>
      <c r="RG9" s="32"/>
      <c r="RH9" s="32"/>
      <c r="RI9" s="32"/>
      <c r="RJ9" s="32"/>
      <c r="RK9" s="32"/>
      <c r="RL9" s="32"/>
      <c r="RM9" s="32"/>
      <c r="RN9" s="32"/>
      <c r="RO9" s="32"/>
      <c r="RP9" s="32"/>
      <c r="RQ9" s="32"/>
      <c r="RR9" s="32"/>
      <c r="RS9" s="32"/>
      <c r="RT9" s="32"/>
      <c r="RU9" s="32"/>
      <c r="RV9" s="32"/>
      <c r="RW9" s="32"/>
      <c r="RX9" s="32"/>
      <c r="RY9" s="32"/>
      <c r="RZ9" s="32"/>
      <c r="SA9" s="32"/>
      <c r="SB9" s="32"/>
      <c r="SC9" s="32"/>
      <c r="SD9" s="32"/>
      <c r="SE9" s="32"/>
      <c r="SF9" s="32"/>
      <c r="SG9" s="32"/>
      <c r="SH9" s="32"/>
      <c r="SI9" s="32"/>
      <c r="SJ9" s="32"/>
      <c r="SK9" s="32"/>
      <c r="SL9" s="32"/>
      <c r="SM9" s="32"/>
      <c r="SN9" s="32"/>
      <c r="SO9" s="32"/>
      <c r="SP9" s="32"/>
      <c r="SQ9" s="32"/>
      <c r="SR9" s="32"/>
      <c r="SS9" s="32"/>
      <c r="ST9" s="32"/>
      <c r="SU9" s="32"/>
      <c r="SV9" s="32"/>
      <c r="SW9" s="32"/>
      <c r="SX9" s="32"/>
      <c r="SY9" s="32"/>
      <c r="SZ9" s="32"/>
      <c r="TA9" s="32"/>
      <c r="TB9" s="32"/>
      <c r="TC9" s="32"/>
      <c r="TD9" s="32"/>
      <c r="TE9" s="32"/>
      <c r="TF9" s="32"/>
      <c r="TG9" s="32"/>
      <c r="TH9" s="32"/>
      <c r="TI9" s="32"/>
      <c r="TJ9" s="32"/>
      <c r="TK9" s="32"/>
      <c r="TL9" s="32"/>
      <c r="TM9" s="32"/>
      <c r="TN9" s="32"/>
      <c r="TO9" s="32"/>
      <c r="TP9" s="32"/>
      <c r="TQ9" s="32"/>
      <c r="TR9" s="32"/>
      <c r="TS9" s="32"/>
      <c r="TT9" s="32"/>
      <c r="TU9" s="32"/>
      <c r="TV9" s="32"/>
      <c r="TW9" s="32"/>
      <c r="TX9" s="32"/>
      <c r="TY9" s="32"/>
      <c r="TZ9" s="32"/>
      <c r="UA9" s="32"/>
      <c r="UB9" s="32"/>
      <c r="UC9" s="32"/>
      <c r="UD9" s="32"/>
      <c r="UE9" s="32"/>
      <c r="UF9" s="32"/>
      <c r="UG9" s="32"/>
      <c r="UH9" s="32"/>
      <c r="UI9" s="32"/>
      <c r="UJ9" s="32"/>
      <c r="UK9" s="32"/>
      <c r="UL9" s="32"/>
      <c r="UM9" s="32"/>
      <c r="UN9" s="32"/>
      <c r="UO9" s="32"/>
      <c r="UP9" s="32"/>
      <c r="UQ9" s="32"/>
      <c r="UR9" s="32"/>
      <c r="US9" s="32"/>
      <c r="UT9" s="32"/>
      <c r="UU9" s="32"/>
      <c r="UV9" s="32"/>
      <c r="UW9" s="32"/>
      <c r="UX9" s="32"/>
      <c r="UY9" s="32"/>
      <c r="UZ9" s="32"/>
      <c r="VA9" s="32"/>
      <c r="VB9" s="32"/>
      <c r="VC9" s="32"/>
      <c r="VD9" s="32"/>
      <c r="VE9" s="32"/>
      <c r="VF9" s="32"/>
      <c r="VG9" s="32"/>
      <c r="VH9" s="32"/>
      <c r="VI9" s="32"/>
      <c r="VJ9" s="32"/>
      <c r="VK9" s="32"/>
      <c r="VL9" s="32"/>
      <c r="VM9" s="32"/>
      <c r="VN9" s="32"/>
      <c r="VO9" s="32"/>
      <c r="VP9" s="32"/>
      <c r="VQ9" s="32"/>
      <c r="VR9" s="32"/>
      <c r="VS9" s="32"/>
      <c r="VT9" s="32"/>
      <c r="VU9" s="32"/>
      <c r="VV9" s="32"/>
      <c r="VW9" s="32"/>
      <c r="VX9" s="32"/>
      <c r="VY9" s="32"/>
      <c r="VZ9" s="32"/>
      <c r="WA9" s="32"/>
      <c r="WB9" s="32"/>
      <c r="WC9" s="32"/>
      <c r="WD9" s="32"/>
      <c r="WE9" s="32"/>
      <c r="WF9" s="32"/>
      <c r="WG9" s="32"/>
      <c r="WH9" s="32"/>
      <c r="WI9" s="32"/>
      <c r="WJ9" s="32"/>
      <c r="WK9" s="32"/>
      <c r="WL9" s="32"/>
      <c r="WM9" s="32"/>
      <c r="WN9" s="32"/>
      <c r="WO9" s="32"/>
      <c r="WP9" s="32"/>
      <c r="WQ9" s="32"/>
      <c r="WR9" s="32"/>
      <c r="WS9" s="32"/>
      <c r="WT9" s="32"/>
      <c r="WU9" s="32"/>
      <c r="WV9" s="32"/>
      <c r="WW9" s="32"/>
      <c r="WX9" s="32"/>
      <c r="WY9" s="32"/>
      <c r="WZ9" s="32"/>
      <c r="XA9" s="32"/>
      <c r="XB9" s="32"/>
      <c r="XC9" s="32"/>
      <c r="XD9" s="32"/>
      <c r="XE9" s="32"/>
      <c r="XF9" s="32"/>
      <c r="XG9" s="32"/>
      <c r="XH9" s="32"/>
      <c r="XI9" s="32"/>
      <c r="XJ9" s="32"/>
      <c r="XK9" s="32"/>
      <c r="XL9" s="32"/>
      <c r="XM9" s="32"/>
      <c r="XN9" s="32"/>
      <c r="XO9" s="32"/>
      <c r="XP9" s="32"/>
      <c r="XQ9" s="32"/>
      <c r="XR9" s="32"/>
      <c r="XS9" s="32"/>
      <c r="XT9" s="32"/>
      <c r="XU9" s="32"/>
      <c r="XV9" s="32"/>
      <c r="XW9" s="32"/>
      <c r="XX9" s="32"/>
      <c r="XY9" s="32"/>
      <c r="XZ9" s="32"/>
      <c r="YA9" s="32"/>
      <c r="YB9" s="32"/>
      <c r="YC9" s="32"/>
      <c r="YD9" s="32"/>
      <c r="YE9" s="32"/>
      <c r="YF9" s="32"/>
      <c r="YG9" s="32"/>
      <c r="YH9" s="32"/>
      <c r="YI9" s="32"/>
      <c r="YJ9" s="32"/>
      <c r="YK9" s="32"/>
      <c r="YL9" s="32"/>
      <c r="YM9" s="32"/>
      <c r="YN9" s="32"/>
      <c r="YO9" s="32"/>
      <c r="YP9" s="32"/>
      <c r="YQ9" s="32"/>
      <c r="YR9" s="32"/>
      <c r="YS9" s="32"/>
      <c r="YT9" s="32"/>
      <c r="YU9" s="32"/>
      <c r="YV9" s="32"/>
      <c r="YW9" s="32"/>
      <c r="YX9" s="32"/>
      <c r="YY9" s="32"/>
      <c r="YZ9" s="32"/>
      <c r="ZA9" s="32"/>
      <c r="ZB9" s="32"/>
      <c r="ZC9" s="32"/>
      <c r="ZD9" s="32"/>
      <c r="ZE9" s="32"/>
      <c r="ZF9" s="32"/>
      <c r="ZG9" s="32"/>
      <c r="ZH9" s="32"/>
      <c r="ZI9" s="32"/>
      <c r="ZJ9" s="32"/>
      <c r="ZK9" s="32"/>
      <c r="ZL9" s="32"/>
      <c r="ZM9" s="32"/>
      <c r="ZN9" s="32"/>
      <c r="ZO9" s="32"/>
      <c r="ZP9" s="32"/>
      <c r="ZQ9" s="32"/>
      <c r="ZR9" s="32"/>
      <c r="ZS9" s="32"/>
      <c r="ZT9" s="32"/>
      <c r="ZU9" s="32"/>
      <c r="ZV9" s="32"/>
      <c r="ZW9" s="32"/>
      <c r="ZX9" s="32"/>
      <c r="ZY9" s="32"/>
      <c r="ZZ9" s="32"/>
      <c r="AAA9" s="32"/>
      <c r="AAB9" s="32"/>
      <c r="AAC9" s="32"/>
      <c r="AAD9" s="32"/>
      <c r="AAE9" s="32"/>
      <c r="AAF9" s="32"/>
      <c r="AAG9" s="32"/>
      <c r="AAH9" s="32"/>
      <c r="AAI9" s="32"/>
      <c r="AAJ9" s="32"/>
      <c r="AAK9" s="32"/>
      <c r="AAL9" s="32"/>
      <c r="AAM9" s="32"/>
      <c r="AAN9" s="32"/>
      <c r="AAO9" s="32"/>
      <c r="AAP9" s="32"/>
      <c r="AAQ9" s="32"/>
      <c r="AAR9" s="32"/>
      <c r="AAS9" s="32"/>
      <c r="AAT9" s="32"/>
      <c r="AAU9" s="32"/>
      <c r="AAV9" s="32"/>
      <c r="AAW9" s="32"/>
      <c r="AAX9" s="32"/>
      <c r="AAY9" s="32"/>
      <c r="AAZ9" s="32"/>
      <c r="ABA9" s="32"/>
      <c r="ABB9" s="32"/>
      <c r="ABC9" s="32"/>
      <c r="ABD9" s="32"/>
      <c r="ABE9" s="32"/>
      <c r="ABF9" s="32"/>
      <c r="ABG9" s="32"/>
      <c r="ABH9" s="32"/>
      <c r="ABI9" s="32"/>
      <c r="ABJ9" s="32"/>
      <c r="ABK9" s="32"/>
      <c r="ABL9" s="32"/>
      <c r="ABM9" s="32"/>
      <c r="ABN9" s="32"/>
      <c r="ABO9" s="32"/>
      <c r="ABP9" s="32"/>
      <c r="ABQ9" s="32"/>
      <c r="ABR9" s="32"/>
      <c r="ABS9" s="32"/>
      <c r="ABT9" s="32"/>
      <c r="ABU9" s="32"/>
      <c r="ABV9" s="32"/>
      <c r="ABW9" s="32"/>
      <c r="ABX9" s="32"/>
      <c r="ABY9" s="32"/>
      <c r="ABZ9" s="32"/>
      <c r="ACA9" s="32"/>
      <c r="ACB9" s="32"/>
      <c r="ACC9" s="32"/>
      <c r="ACD9" s="32"/>
      <c r="ACE9" s="32"/>
      <c r="ACF9" s="32"/>
      <c r="ACG9" s="32"/>
      <c r="ACH9" s="32"/>
      <c r="ACI9" s="32"/>
      <c r="ACJ9" s="32"/>
      <c r="ACK9" s="32"/>
      <c r="ACL9" s="32"/>
      <c r="ACM9" s="32"/>
      <c r="ACN9" s="32"/>
      <c r="ACO9" s="32"/>
      <c r="ACP9" s="32"/>
      <c r="ACQ9" s="32"/>
      <c r="ACR9" s="32"/>
      <c r="ACS9" s="32"/>
      <c r="ACT9" s="32"/>
      <c r="ACU9" s="32"/>
      <c r="ACV9" s="32"/>
      <c r="ACW9" s="32"/>
      <c r="ACX9" s="32"/>
      <c r="ACY9" s="32"/>
      <c r="ACZ9" s="32"/>
      <c r="ADA9" s="32"/>
      <c r="ADB9" s="32"/>
      <c r="ADC9" s="32"/>
      <c r="ADD9" s="32"/>
      <c r="ADE9" s="32"/>
      <c r="ADF9" s="32"/>
      <c r="ADG9" s="32"/>
      <c r="ADH9" s="32"/>
      <c r="ADI9" s="32"/>
      <c r="ADJ9" s="32"/>
      <c r="ADK9" s="32"/>
      <c r="ADL9" s="32"/>
      <c r="ADM9" s="32"/>
      <c r="ADN9" s="32"/>
      <c r="ADO9" s="32"/>
      <c r="ADP9" s="32"/>
      <c r="ADQ9" s="32"/>
      <c r="ADR9" s="32"/>
      <c r="ADS9" s="32"/>
      <c r="ADT9" s="32"/>
      <c r="ADU9" s="32"/>
      <c r="ADV9" s="32"/>
      <c r="ADW9" s="32"/>
      <c r="ADX9" s="32"/>
      <c r="ADY9" s="32"/>
      <c r="ADZ9" s="32"/>
      <c r="AEA9" s="32"/>
      <c r="AEB9" s="32"/>
      <c r="AEC9" s="32"/>
      <c r="AED9" s="32"/>
      <c r="AEE9" s="32"/>
      <c r="AEF9" s="32"/>
      <c r="AEG9" s="32"/>
      <c r="AEH9" s="32"/>
      <c r="AEI9" s="32"/>
      <c r="AEJ9" s="32"/>
      <c r="AEK9" s="32"/>
      <c r="AEL9" s="32"/>
      <c r="AEM9" s="32"/>
      <c r="AEN9" s="32"/>
      <c r="AEO9" s="32"/>
      <c r="AEP9" s="32"/>
      <c r="AEQ9" s="32"/>
      <c r="AER9" s="32"/>
      <c r="AES9" s="32"/>
      <c r="AET9" s="32"/>
      <c r="AEU9" s="32"/>
      <c r="AEV9" s="32"/>
      <c r="AEW9" s="32"/>
      <c r="AEX9" s="32"/>
      <c r="AEY9" s="32"/>
      <c r="AEZ9" s="32"/>
      <c r="AFA9" s="32"/>
      <c r="AFB9" s="32"/>
      <c r="AFC9" s="32"/>
      <c r="AFD9" s="32"/>
      <c r="AFE9" s="32"/>
      <c r="AFF9" s="32"/>
      <c r="AFG9" s="32"/>
      <c r="AFH9" s="32"/>
      <c r="AFI9" s="32"/>
      <c r="AFJ9" s="32"/>
      <c r="AFK9" s="32"/>
      <c r="AFL9" s="32"/>
      <c r="AFM9" s="32"/>
      <c r="AFN9" s="32"/>
      <c r="AFO9" s="32"/>
      <c r="AFP9" s="32"/>
      <c r="AFQ9" s="32"/>
      <c r="AFR9" s="32"/>
      <c r="AFS9" s="32"/>
      <c r="AFT9" s="32"/>
      <c r="AFU9" s="32"/>
      <c r="AFV9" s="32"/>
      <c r="AFW9" s="32"/>
      <c r="AFX9" s="32"/>
      <c r="AFY9" s="32"/>
      <c r="AFZ9" s="32"/>
      <c r="AGA9" s="32"/>
      <c r="AGB9" s="32"/>
      <c r="AGC9" s="32"/>
      <c r="AGD9" s="32"/>
      <c r="AGE9" s="32"/>
      <c r="AGF9" s="32"/>
      <c r="AGG9" s="32"/>
      <c r="AGH9" s="32"/>
      <c r="AGI9" s="32"/>
      <c r="AGJ9" s="32"/>
      <c r="AGK9" s="32"/>
      <c r="AGL9" s="32"/>
      <c r="AGM9" s="32"/>
      <c r="AGN9" s="32"/>
      <c r="AGO9" s="32"/>
      <c r="AGP9" s="32"/>
      <c r="AGQ9" s="32"/>
      <c r="AGR9" s="32"/>
      <c r="AGS9" s="32"/>
      <c r="AGT9" s="32"/>
      <c r="AGU9" s="32"/>
      <c r="AGV9" s="32"/>
      <c r="AGW9" s="32"/>
      <c r="AGX9" s="32"/>
      <c r="AGY9" s="32"/>
      <c r="AGZ9" s="32"/>
      <c r="AHA9" s="32"/>
      <c r="AHB9" s="32"/>
      <c r="AHC9" s="32"/>
      <c r="AHD9" s="32"/>
      <c r="AHE9" s="32"/>
      <c r="AHF9" s="32"/>
      <c r="AHG9" s="32"/>
      <c r="AHH9" s="32"/>
      <c r="AHI9" s="32"/>
      <c r="AHJ9" s="32"/>
      <c r="AHK9" s="32"/>
      <c r="AHL9" s="32"/>
      <c r="AHM9" s="32"/>
      <c r="AHN9" s="32"/>
      <c r="AHO9" s="32"/>
      <c r="AHP9" s="32"/>
      <c r="AHQ9" s="32"/>
      <c r="AHR9" s="32"/>
      <c r="AHS9" s="32"/>
      <c r="AHT9" s="32"/>
      <c r="AHU9" s="32"/>
      <c r="AHV9" s="32"/>
      <c r="AHW9" s="32"/>
      <c r="AHX9" s="32"/>
      <c r="AHY9" s="32"/>
      <c r="AHZ9" s="32"/>
      <c r="AIA9" s="32"/>
      <c r="AIB9" s="32"/>
      <c r="AIC9" s="32"/>
      <c r="AID9" s="32"/>
      <c r="AIE9" s="32"/>
      <c r="AIF9" s="32"/>
      <c r="AIG9" s="32"/>
      <c r="AIH9" s="32"/>
      <c r="AII9" s="32"/>
      <c r="AIJ9" s="32"/>
      <c r="AIK9" s="32"/>
      <c r="AIL9" s="32"/>
      <c r="AIM9" s="32"/>
      <c r="AIN9" s="32"/>
      <c r="AIO9" s="32"/>
      <c r="AIP9" s="32"/>
      <c r="AIQ9" s="32"/>
      <c r="AIR9" s="32"/>
      <c r="AIS9" s="32"/>
      <c r="AIT9" s="32"/>
      <c r="AIU9" s="32"/>
      <c r="AIV9" s="32"/>
      <c r="AIW9" s="32"/>
      <c r="AIX9" s="32"/>
      <c r="AIY9" s="32"/>
      <c r="AIZ9" s="32"/>
      <c r="AJA9" s="32"/>
      <c r="AJB9" s="32"/>
      <c r="AJC9" s="32"/>
      <c r="AJD9" s="32"/>
      <c r="AJE9" s="32"/>
      <c r="AJF9" s="32"/>
      <c r="AJG9" s="32"/>
      <c r="AJH9" s="32"/>
      <c r="AJI9" s="32"/>
      <c r="AJJ9" s="32"/>
      <c r="AJK9" s="32"/>
      <c r="AJL9" s="32"/>
      <c r="AJM9" s="32"/>
      <c r="AJN9" s="32"/>
      <c r="AJO9" s="32"/>
      <c r="AJP9" s="32"/>
      <c r="AJQ9" s="32"/>
      <c r="AJR9" s="32"/>
      <c r="AJS9" s="32"/>
      <c r="AJT9" s="32"/>
      <c r="AJU9" s="32"/>
      <c r="AJV9" s="32"/>
      <c r="AJW9" s="32"/>
      <c r="AJX9" s="32"/>
      <c r="AJY9" s="32"/>
      <c r="AJZ9" s="32"/>
      <c r="AKA9" s="32"/>
      <c r="AKB9" s="32"/>
      <c r="AKC9" s="32"/>
      <c r="AKD9" s="32"/>
      <c r="AKE9" s="32"/>
      <c r="AKF9" s="32"/>
      <c r="AKG9" s="32"/>
      <c r="AKH9" s="32"/>
      <c r="AKI9" s="32"/>
      <c r="AKJ9" s="32"/>
      <c r="AKK9" s="32"/>
      <c r="AKL9" s="32"/>
      <c r="AKM9" s="32"/>
      <c r="AKN9" s="32"/>
      <c r="AKO9" s="32"/>
      <c r="AKP9" s="32"/>
      <c r="AKQ9" s="32"/>
      <c r="AKR9" s="32"/>
      <c r="AKS9" s="32"/>
      <c r="AKT9" s="32"/>
      <c r="AKU9" s="32"/>
      <c r="AKV9" s="32"/>
      <c r="AKW9" s="32"/>
      <c r="AKX9" s="32"/>
      <c r="AKY9" s="32"/>
      <c r="AKZ9" s="32"/>
      <c r="ALA9" s="32"/>
      <c r="ALB9" s="32"/>
      <c r="ALC9" s="32"/>
      <c r="ALD9" s="32"/>
      <c r="ALE9" s="32"/>
      <c r="ALF9" s="32"/>
      <c r="ALG9" s="32"/>
      <c r="ALH9" s="32"/>
      <c r="ALI9" s="32"/>
      <c r="ALJ9" s="32"/>
      <c r="ALK9" s="32"/>
      <c r="ALL9" s="32"/>
      <c r="ALM9" s="32"/>
      <c r="ALN9" s="32"/>
      <c r="ALO9" s="32"/>
      <c r="ALP9" s="32"/>
      <c r="ALQ9" s="32"/>
      <c r="ALR9" s="32"/>
      <c r="ALS9" s="32"/>
      <c r="ALT9" s="32"/>
      <c r="ALU9" s="32"/>
      <c r="ALV9" s="32"/>
      <c r="ALW9" s="32"/>
      <c r="ALX9" s="32"/>
      <c r="ALY9" s="32"/>
      <c r="ALZ9" s="32"/>
      <c r="AMA9" s="32"/>
      <c r="AMB9" s="32"/>
      <c r="AMC9" s="32"/>
      <c r="AMD9" s="32"/>
    </row>
    <row r="10" customFormat="false" ht="15" hidden="false" customHeight="true" outlineLevel="0" collapsed="false">
      <c r="A10" s="32"/>
      <c r="B10" s="70" t="s">
        <v>89</v>
      </c>
      <c r="C10" s="284" t="n">
        <f aca="false">VLOOKUP(B10,Unidades!$D$5:$G$24,4,)</f>
        <v>0.02</v>
      </c>
      <c r="D10" s="285" t="n">
        <f aca="false">'Base Blumenau'!AD12*12+'Base Blumenau'!AE12*4+'Base Blumenau'!AF12*2+'Base Blumenau'!AG12</f>
        <v>10706.0716530272</v>
      </c>
      <c r="E10" s="285" t="n">
        <f aca="false">'Base Blumenau'!AK12*12+'Base Blumenau'!AL12*4+'Base Blumenau'!AM12*2+'Base Blumenau'!AN12</f>
        <v>13604.2052495016</v>
      </c>
      <c r="F10" s="32"/>
      <c r="G10" s="273" t="n">
        <v>0.04</v>
      </c>
      <c r="H10" s="286" t="n">
        <f aca="false">SUMIF(C$5:C$24,G10,D$5:D$24)</f>
        <v>12819.565808317</v>
      </c>
      <c r="I10" s="286" t="n">
        <f aca="false">SUMIF(C$5:C$24,G10,E$5:E$24)</f>
        <v>16657.7438113271</v>
      </c>
      <c r="J10" s="286" t="n">
        <f aca="false">H10*4</f>
        <v>51278.2632332678</v>
      </c>
      <c r="K10" s="286" t="n">
        <f aca="false">I10*4</f>
        <v>66630.9752453082</v>
      </c>
      <c r="L10" s="287" t="n">
        <f aca="false">H10/H$14</f>
        <v>0.0461019122875279</v>
      </c>
      <c r="M10" s="287" t="n">
        <f aca="false">I10/I$14</f>
        <v>0.0467889071509096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9"/>
    </row>
    <row r="11" customFormat="false" ht="15" hidden="false" customHeight="true" outlineLevel="0" collapsed="false">
      <c r="B11" s="70" t="s">
        <v>90</v>
      </c>
      <c r="C11" s="284" t="n">
        <f aca="false">VLOOKUP(B11,Unidades!$D$5:$G$24,4,)</f>
        <v>0.035</v>
      </c>
      <c r="D11" s="285" t="n">
        <f aca="false">'Base Blumenau'!AD13*12+'Base Blumenau'!AE13*4+'Base Blumenau'!AF13*2+'Base Blumenau'!AG13</f>
        <v>10755.1664785423</v>
      </c>
      <c r="E11" s="285" t="n">
        <f aca="false">'Base Blumenau'!AK13*12+'Base Blumenau'!AL13*4+'Base Blumenau'!AM13*2+'Base Blumenau'!AN13</f>
        <v>13896.7506069245</v>
      </c>
      <c r="G11" s="273" t="n">
        <v>0.045</v>
      </c>
      <c r="H11" s="286" t="n">
        <f aca="false">SUMIF(C$5:C$24,G11,D$5:D$24)</f>
        <v>0</v>
      </c>
      <c r="I11" s="286" t="n">
        <f aca="false">SUMIF(C$5:C$24,G11,E$5:E$24)</f>
        <v>0</v>
      </c>
      <c r="J11" s="286" t="n">
        <f aca="false">H11*4</f>
        <v>0</v>
      </c>
      <c r="K11" s="286" t="n">
        <f aca="false">I11*4</f>
        <v>0</v>
      </c>
      <c r="L11" s="287" t="n">
        <f aca="false">H11/H$14</f>
        <v>0</v>
      </c>
      <c r="M11" s="287" t="n">
        <f aca="false">I11/I$14</f>
        <v>0</v>
      </c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  <c r="KN11" s="23"/>
      <c r="KO11" s="23"/>
      <c r="KP11" s="23"/>
      <c r="KQ11" s="23"/>
      <c r="KR11" s="23"/>
      <c r="KS11" s="23"/>
      <c r="KT11" s="23"/>
      <c r="KU11" s="23"/>
      <c r="KV11" s="23"/>
      <c r="KW11" s="23"/>
      <c r="KX11" s="23"/>
      <c r="KY11" s="23"/>
      <c r="KZ11" s="23"/>
      <c r="LA11" s="23"/>
      <c r="LB11" s="23"/>
      <c r="LC11" s="23"/>
      <c r="LD11" s="23"/>
      <c r="LE11" s="23"/>
      <c r="LF11" s="23"/>
      <c r="LG11" s="23"/>
      <c r="LH11" s="23"/>
      <c r="LI11" s="23"/>
      <c r="LJ11" s="23"/>
      <c r="LK11" s="23"/>
      <c r="LL11" s="23"/>
      <c r="LM11" s="23"/>
      <c r="LN11" s="23"/>
      <c r="LO11" s="23"/>
      <c r="LP11" s="23"/>
      <c r="LQ11" s="23"/>
      <c r="LR11" s="23"/>
      <c r="LS11" s="23"/>
      <c r="LT11" s="23"/>
      <c r="LU11" s="23"/>
      <c r="LV11" s="23"/>
      <c r="LW11" s="23"/>
      <c r="LX11" s="23"/>
      <c r="LY11" s="23"/>
      <c r="LZ11" s="23"/>
      <c r="MA11" s="23"/>
      <c r="MB11" s="23"/>
      <c r="MC11" s="23"/>
      <c r="MD11" s="23"/>
      <c r="ME11" s="23"/>
      <c r="MF11" s="23"/>
      <c r="MG11" s="23"/>
      <c r="MH11" s="23"/>
      <c r="MI11" s="23"/>
      <c r="MJ11" s="23"/>
      <c r="MK11" s="23"/>
      <c r="ML11" s="23"/>
      <c r="MM11" s="23"/>
      <c r="MN11" s="23"/>
      <c r="MO11" s="23"/>
      <c r="MP11" s="23"/>
      <c r="MQ11" s="23"/>
      <c r="MR11" s="23"/>
      <c r="MS11" s="23"/>
      <c r="MT11" s="23"/>
      <c r="MU11" s="23"/>
      <c r="MV11" s="23"/>
      <c r="MW11" s="23"/>
      <c r="MX11" s="23"/>
      <c r="MY11" s="23"/>
      <c r="MZ11" s="23"/>
      <c r="NA11" s="23"/>
      <c r="NB11" s="23"/>
      <c r="NC11" s="23"/>
      <c r="ND11" s="23"/>
      <c r="NE11" s="23"/>
      <c r="NF11" s="23"/>
      <c r="NG11" s="23"/>
      <c r="NH11" s="23"/>
      <c r="NI11" s="23"/>
      <c r="NJ11" s="23"/>
      <c r="NK11" s="23"/>
      <c r="NL11" s="23"/>
      <c r="NM11" s="23"/>
      <c r="NN11" s="23"/>
      <c r="NO11" s="23"/>
      <c r="NP11" s="23"/>
      <c r="NQ11" s="23"/>
      <c r="NR11" s="23"/>
      <c r="NS11" s="23"/>
      <c r="NT11" s="23"/>
      <c r="NU11" s="23"/>
      <c r="NV11" s="23"/>
      <c r="NW11" s="23"/>
      <c r="NX11" s="23"/>
      <c r="NY11" s="23"/>
      <c r="NZ11" s="23"/>
      <c r="OA11" s="23"/>
      <c r="OB11" s="23"/>
      <c r="OC11" s="23"/>
      <c r="OD11" s="23"/>
      <c r="OE11" s="23"/>
      <c r="OF11" s="23"/>
      <c r="OG11" s="23"/>
      <c r="OH11" s="23"/>
      <c r="OI11" s="23"/>
      <c r="OJ11" s="23"/>
      <c r="OK11" s="23"/>
      <c r="OL11" s="23"/>
      <c r="OM11" s="23"/>
      <c r="ON11" s="23"/>
      <c r="OO11" s="23"/>
      <c r="OP11" s="23"/>
      <c r="OQ11" s="23"/>
      <c r="OR11" s="23"/>
      <c r="OS11" s="23"/>
      <c r="OT11" s="23"/>
      <c r="OU11" s="23"/>
      <c r="OV11" s="23"/>
      <c r="OW11" s="23"/>
      <c r="OX11" s="23"/>
      <c r="OY11" s="23"/>
      <c r="OZ11" s="23"/>
      <c r="PA11" s="23"/>
      <c r="PB11" s="23"/>
      <c r="PC11" s="23"/>
      <c r="PD11" s="23"/>
      <c r="PE11" s="23"/>
      <c r="PF11" s="23"/>
      <c r="PG11" s="23"/>
      <c r="PH11" s="23"/>
      <c r="PI11" s="23"/>
      <c r="PJ11" s="23"/>
      <c r="PK11" s="23"/>
      <c r="PL11" s="23"/>
      <c r="PM11" s="23"/>
      <c r="PN11" s="23"/>
      <c r="PO11" s="23"/>
      <c r="PP11" s="23"/>
      <c r="PQ11" s="23"/>
      <c r="PR11" s="23"/>
      <c r="PS11" s="23"/>
      <c r="PT11" s="23"/>
      <c r="PU11" s="23"/>
      <c r="PV11" s="23"/>
      <c r="PW11" s="23"/>
      <c r="PX11" s="23"/>
      <c r="PY11" s="23"/>
      <c r="PZ11" s="23"/>
      <c r="QA11" s="23"/>
      <c r="QB11" s="23"/>
      <c r="QC11" s="23"/>
      <c r="QD11" s="23"/>
      <c r="QE11" s="23"/>
      <c r="QF11" s="23"/>
      <c r="QG11" s="23"/>
      <c r="QH11" s="23"/>
      <c r="QI11" s="23"/>
      <c r="QJ11" s="23"/>
      <c r="QK11" s="23"/>
      <c r="QL11" s="23"/>
      <c r="QM11" s="23"/>
      <c r="QN11" s="23"/>
      <c r="QO11" s="23"/>
      <c r="QP11" s="23"/>
      <c r="QQ11" s="23"/>
      <c r="QR11" s="23"/>
      <c r="QS11" s="23"/>
      <c r="QT11" s="23"/>
      <c r="QU11" s="23"/>
      <c r="QV11" s="23"/>
      <c r="QW11" s="23"/>
      <c r="QX11" s="23"/>
      <c r="QY11" s="23"/>
      <c r="QZ11" s="23"/>
      <c r="RA11" s="23"/>
      <c r="RB11" s="23"/>
      <c r="RC11" s="23"/>
      <c r="RD11" s="23"/>
      <c r="RE11" s="23"/>
      <c r="RF11" s="23"/>
      <c r="RG11" s="23"/>
      <c r="RH11" s="23"/>
      <c r="RI11" s="23"/>
      <c r="RJ11" s="23"/>
      <c r="RK11" s="23"/>
      <c r="RL11" s="23"/>
      <c r="RM11" s="23"/>
      <c r="RN11" s="23"/>
      <c r="RO11" s="23"/>
      <c r="RP11" s="23"/>
      <c r="RQ11" s="23"/>
      <c r="RR11" s="23"/>
      <c r="RS11" s="23"/>
      <c r="RT11" s="23"/>
      <c r="RU11" s="23"/>
      <c r="RV11" s="23"/>
      <c r="RW11" s="23"/>
      <c r="RX11" s="23"/>
      <c r="RY11" s="23"/>
      <c r="RZ11" s="23"/>
      <c r="SA11" s="23"/>
      <c r="SB11" s="23"/>
      <c r="SC11" s="23"/>
      <c r="SD11" s="23"/>
      <c r="SE11" s="23"/>
      <c r="SF11" s="23"/>
      <c r="SG11" s="23"/>
      <c r="SH11" s="23"/>
      <c r="SI11" s="23"/>
      <c r="SJ11" s="23"/>
      <c r="SK11" s="23"/>
      <c r="SL11" s="23"/>
      <c r="SM11" s="23"/>
      <c r="SN11" s="23"/>
      <c r="SO11" s="23"/>
      <c r="SP11" s="23"/>
      <c r="SQ11" s="23"/>
      <c r="SR11" s="23"/>
      <c r="SS11" s="23"/>
      <c r="ST11" s="23"/>
      <c r="SU11" s="23"/>
      <c r="SV11" s="23"/>
      <c r="SW11" s="23"/>
      <c r="SX11" s="23"/>
      <c r="SY11" s="23"/>
      <c r="SZ11" s="23"/>
      <c r="TA11" s="23"/>
      <c r="TB11" s="23"/>
      <c r="TC11" s="23"/>
      <c r="TD11" s="23"/>
      <c r="TE11" s="23"/>
      <c r="TF11" s="23"/>
      <c r="TG11" s="23"/>
      <c r="TH11" s="23"/>
      <c r="TI11" s="23"/>
      <c r="TJ11" s="23"/>
      <c r="TK11" s="23"/>
      <c r="TL11" s="23"/>
      <c r="TM11" s="23"/>
      <c r="TN11" s="23"/>
      <c r="TO11" s="23"/>
      <c r="TP11" s="23"/>
      <c r="TQ11" s="23"/>
      <c r="TR11" s="23"/>
      <c r="TS11" s="23"/>
      <c r="TT11" s="23"/>
      <c r="TU11" s="23"/>
      <c r="TV11" s="23"/>
      <c r="TW11" s="23"/>
      <c r="TX11" s="23"/>
      <c r="TY11" s="23"/>
      <c r="TZ11" s="23"/>
      <c r="UA11" s="23"/>
      <c r="UB11" s="23"/>
      <c r="UC11" s="23"/>
      <c r="UD11" s="23"/>
      <c r="UE11" s="23"/>
      <c r="UF11" s="23"/>
      <c r="UG11" s="23"/>
      <c r="UH11" s="23"/>
      <c r="UI11" s="23"/>
      <c r="UJ11" s="23"/>
      <c r="UK11" s="23"/>
      <c r="UL11" s="23"/>
      <c r="UM11" s="23"/>
      <c r="UN11" s="23"/>
      <c r="UO11" s="23"/>
      <c r="UP11" s="23"/>
      <c r="UQ11" s="23"/>
      <c r="UR11" s="23"/>
      <c r="US11" s="23"/>
      <c r="UT11" s="23"/>
      <c r="UU11" s="23"/>
      <c r="UV11" s="23"/>
      <c r="UW11" s="23"/>
      <c r="UX11" s="23"/>
      <c r="UY11" s="23"/>
      <c r="UZ11" s="23"/>
      <c r="VA11" s="23"/>
      <c r="VB11" s="23"/>
      <c r="VC11" s="23"/>
      <c r="VD11" s="23"/>
      <c r="VE11" s="23"/>
      <c r="VF11" s="23"/>
      <c r="VG11" s="23"/>
      <c r="VH11" s="23"/>
      <c r="VI11" s="23"/>
      <c r="VJ11" s="23"/>
      <c r="VK11" s="23"/>
      <c r="VL11" s="23"/>
      <c r="VM11" s="23"/>
      <c r="VN11" s="23"/>
      <c r="VO11" s="23"/>
      <c r="VP11" s="23"/>
      <c r="VQ11" s="23"/>
      <c r="VR11" s="23"/>
      <c r="VS11" s="23"/>
      <c r="VT11" s="23"/>
      <c r="VU11" s="23"/>
      <c r="VV11" s="23"/>
      <c r="VW11" s="23"/>
      <c r="VX11" s="23"/>
      <c r="VY11" s="23"/>
      <c r="VZ11" s="23"/>
      <c r="WA11" s="23"/>
      <c r="WB11" s="23"/>
      <c r="WC11" s="23"/>
      <c r="WD11" s="23"/>
      <c r="WE11" s="23"/>
      <c r="WF11" s="23"/>
      <c r="WG11" s="23"/>
      <c r="WH11" s="23"/>
      <c r="WI11" s="23"/>
      <c r="WJ11" s="23"/>
      <c r="WK11" s="23"/>
      <c r="WL11" s="23"/>
      <c r="WM11" s="23"/>
      <c r="WN11" s="23"/>
      <c r="WO11" s="23"/>
      <c r="WP11" s="23"/>
      <c r="WQ11" s="23"/>
      <c r="WR11" s="23"/>
      <c r="WS11" s="23"/>
      <c r="WT11" s="23"/>
      <c r="WU11" s="23"/>
      <c r="WV11" s="23"/>
      <c r="WW11" s="23"/>
      <c r="WX11" s="23"/>
      <c r="WY11" s="23"/>
      <c r="WZ11" s="23"/>
      <c r="XA11" s="23"/>
      <c r="XB11" s="23"/>
      <c r="XC11" s="23"/>
      <c r="XD11" s="23"/>
      <c r="XE11" s="23"/>
      <c r="XF11" s="23"/>
      <c r="XG11" s="23"/>
      <c r="XH11" s="23"/>
      <c r="XI11" s="23"/>
      <c r="XJ11" s="23"/>
      <c r="XK11" s="23"/>
      <c r="XL11" s="23"/>
      <c r="XM11" s="23"/>
      <c r="XN11" s="23"/>
      <c r="XO11" s="23"/>
      <c r="XP11" s="23"/>
      <c r="XQ11" s="23"/>
      <c r="XR11" s="23"/>
      <c r="XS11" s="23"/>
      <c r="XT11" s="23"/>
      <c r="XU11" s="23"/>
      <c r="XV11" s="23"/>
      <c r="XW11" s="23"/>
      <c r="XX11" s="23"/>
      <c r="XY11" s="23"/>
      <c r="XZ11" s="23"/>
      <c r="YA11" s="23"/>
      <c r="YB11" s="23"/>
      <c r="YC11" s="23"/>
      <c r="YD11" s="23"/>
      <c r="YE11" s="23"/>
      <c r="YF11" s="23"/>
      <c r="YG11" s="23"/>
      <c r="YH11" s="23"/>
      <c r="YI11" s="23"/>
      <c r="YJ11" s="23"/>
      <c r="YK11" s="23"/>
      <c r="YL11" s="23"/>
      <c r="YM11" s="23"/>
      <c r="YN11" s="23"/>
      <c r="YO11" s="23"/>
      <c r="YP11" s="23"/>
      <c r="YQ11" s="23"/>
      <c r="YR11" s="23"/>
      <c r="YS11" s="23"/>
      <c r="YT11" s="23"/>
      <c r="YU11" s="23"/>
      <c r="YV11" s="23"/>
      <c r="YW11" s="23"/>
      <c r="YX11" s="23"/>
      <c r="YY11" s="23"/>
      <c r="YZ11" s="23"/>
      <c r="ZA11" s="23"/>
      <c r="ZB11" s="23"/>
      <c r="ZC11" s="23"/>
      <c r="ZD11" s="23"/>
      <c r="ZE11" s="23"/>
      <c r="ZF11" s="23"/>
      <c r="ZG11" s="23"/>
      <c r="ZH11" s="23"/>
      <c r="ZI11" s="23"/>
      <c r="ZJ11" s="23"/>
      <c r="ZK11" s="23"/>
      <c r="ZL11" s="23"/>
      <c r="ZM11" s="23"/>
      <c r="ZN11" s="23"/>
      <c r="ZO11" s="23"/>
      <c r="ZP11" s="23"/>
      <c r="ZQ11" s="23"/>
      <c r="ZR11" s="23"/>
      <c r="ZS11" s="23"/>
      <c r="ZT11" s="23"/>
      <c r="ZU11" s="23"/>
      <c r="ZV11" s="23"/>
      <c r="ZW11" s="23"/>
      <c r="ZX11" s="23"/>
      <c r="ZY11" s="23"/>
      <c r="ZZ11" s="23"/>
      <c r="AAA11" s="23"/>
      <c r="AAB11" s="23"/>
      <c r="AAC11" s="23"/>
      <c r="AAD11" s="23"/>
      <c r="AAE11" s="23"/>
      <c r="AAF11" s="23"/>
      <c r="AAG11" s="23"/>
      <c r="AAH11" s="23"/>
      <c r="AAI11" s="23"/>
      <c r="AAJ11" s="23"/>
      <c r="AAK11" s="23"/>
      <c r="AAL11" s="23"/>
      <c r="AAM11" s="23"/>
      <c r="AAN11" s="23"/>
      <c r="AAO11" s="23"/>
      <c r="AAP11" s="23"/>
      <c r="AAQ11" s="23"/>
      <c r="AAR11" s="23"/>
      <c r="AAS11" s="23"/>
      <c r="AAT11" s="23"/>
      <c r="AAU11" s="23"/>
      <c r="AAV11" s="23"/>
      <c r="AAW11" s="23"/>
      <c r="AAX11" s="23"/>
      <c r="AAY11" s="23"/>
      <c r="AAZ11" s="23"/>
      <c r="ABA11" s="23"/>
      <c r="ABB11" s="23"/>
      <c r="ABC11" s="23"/>
      <c r="ABD11" s="23"/>
      <c r="ABE11" s="23"/>
      <c r="ABF11" s="23"/>
      <c r="ABG11" s="23"/>
      <c r="ABH11" s="23"/>
      <c r="ABI11" s="23"/>
      <c r="ABJ11" s="23"/>
      <c r="ABK11" s="23"/>
      <c r="ABL11" s="23"/>
      <c r="ABM11" s="23"/>
      <c r="ABN11" s="23"/>
      <c r="ABO11" s="23"/>
      <c r="ABP11" s="23"/>
      <c r="ABQ11" s="23"/>
      <c r="ABR11" s="23"/>
      <c r="ABS11" s="23"/>
      <c r="ABT11" s="23"/>
      <c r="ABU11" s="23"/>
      <c r="ABV11" s="23"/>
      <c r="ABW11" s="23"/>
      <c r="ABX11" s="23"/>
      <c r="ABY11" s="23"/>
      <c r="ABZ11" s="23"/>
      <c r="ACA11" s="23"/>
      <c r="ACB11" s="23"/>
      <c r="ACC11" s="23"/>
      <c r="ACD11" s="23"/>
      <c r="ACE11" s="23"/>
      <c r="ACF11" s="23"/>
      <c r="ACG11" s="23"/>
      <c r="ACH11" s="23"/>
      <c r="ACI11" s="23"/>
      <c r="ACJ11" s="23"/>
      <c r="ACK11" s="23"/>
      <c r="ACL11" s="23"/>
      <c r="ACM11" s="23"/>
      <c r="ACN11" s="23"/>
      <c r="ACO11" s="23"/>
      <c r="ACP11" s="23"/>
      <c r="ACQ11" s="23"/>
      <c r="ACR11" s="23"/>
      <c r="ACS11" s="23"/>
      <c r="ACT11" s="23"/>
      <c r="ACU11" s="23"/>
      <c r="ACV11" s="23"/>
      <c r="ACW11" s="23"/>
      <c r="ACX11" s="23"/>
      <c r="ACY11" s="23"/>
      <c r="ACZ11" s="23"/>
      <c r="ADA11" s="23"/>
      <c r="ADB11" s="23"/>
      <c r="ADC11" s="23"/>
      <c r="ADD11" s="23"/>
      <c r="ADE11" s="23"/>
      <c r="ADF11" s="23"/>
      <c r="ADG11" s="23"/>
      <c r="ADH11" s="23"/>
      <c r="ADI11" s="23"/>
      <c r="ADJ11" s="23"/>
      <c r="ADK11" s="23"/>
      <c r="ADL11" s="23"/>
      <c r="ADM11" s="23"/>
      <c r="ADN11" s="23"/>
      <c r="ADO11" s="23"/>
      <c r="ADP11" s="23"/>
      <c r="ADQ11" s="23"/>
      <c r="ADR11" s="23"/>
      <c r="ADS11" s="23"/>
      <c r="ADT11" s="23"/>
      <c r="ADU11" s="23"/>
      <c r="ADV11" s="23"/>
      <c r="ADW11" s="23"/>
      <c r="ADX11" s="23"/>
      <c r="ADY11" s="23"/>
      <c r="ADZ11" s="23"/>
      <c r="AEA11" s="23"/>
      <c r="AEB11" s="23"/>
      <c r="AEC11" s="23"/>
      <c r="AED11" s="23"/>
      <c r="AEE11" s="23"/>
      <c r="AEF11" s="23"/>
      <c r="AEG11" s="23"/>
      <c r="AEH11" s="23"/>
      <c r="AEI11" s="23"/>
      <c r="AEJ11" s="23"/>
      <c r="AEK11" s="23"/>
      <c r="AEL11" s="23"/>
      <c r="AEM11" s="23"/>
      <c r="AEN11" s="23"/>
      <c r="AEO11" s="23"/>
      <c r="AEP11" s="23"/>
      <c r="AEQ11" s="23"/>
      <c r="AER11" s="23"/>
      <c r="AES11" s="23"/>
      <c r="AET11" s="23"/>
      <c r="AEU11" s="23"/>
      <c r="AEV11" s="23"/>
      <c r="AEW11" s="23"/>
      <c r="AEX11" s="23"/>
      <c r="AEY11" s="23"/>
      <c r="AEZ11" s="23"/>
      <c r="AFA11" s="23"/>
      <c r="AFB11" s="23"/>
      <c r="AFC11" s="23"/>
      <c r="AFD11" s="23"/>
      <c r="AFE11" s="23"/>
      <c r="AFF11" s="23"/>
      <c r="AFG11" s="23"/>
      <c r="AFH11" s="23"/>
      <c r="AFI11" s="23"/>
      <c r="AFJ11" s="23"/>
      <c r="AFK11" s="23"/>
      <c r="AFL11" s="23"/>
      <c r="AFM11" s="23"/>
      <c r="AFN11" s="23"/>
      <c r="AFO11" s="23"/>
      <c r="AFP11" s="23"/>
      <c r="AFQ11" s="23"/>
      <c r="AFR11" s="23"/>
      <c r="AFS11" s="23"/>
      <c r="AFT11" s="23"/>
      <c r="AFU11" s="23"/>
      <c r="AFV11" s="23"/>
      <c r="AFW11" s="23"/>
      <c r="AFX11" s="23"/>
      <c r="AFY11" s="23"/>
      <c r="AFZ11" s="23"/>
      <c r="AGA11" s="23"/>
      <c r="AGB11" s="23"/>
      <c r="AGC11" s="23"/>
      <c r="AGD11" s="23"/>
      <c r="AGE11" s="23"/>
      <c r="AGF11" s="23"/>
      <c r="AGG11" s="23"/>
      <c r="AGH11" s="23"/>
      <c r="AGI11" s="23"/>
      <c r="AGJ11" s="23"/>
      <c r="AGK11" s="23"/>
      <c r="AGL11" s="23"/>
      <c r="AGM11" s="23"/>
      <c r="AGN11" s="23"/>
      <c r="AGO11" s="23"/>
      <c r="AGP11" s="23"/>
      <c r="AGQ11" s="23"/>
      <c r="AGR11" s="23"/>
      <c r="AGS11" s="23"/>
      <c r="AGT11" s="23"/>
      <c r="AGU11" s="23"/>
      <c r="AGV11" s="23"/>
      <c r="AGW11" s="23"/>
      <c r="AGX11" s="23"/>
      <c r="AGY11" s="23"/>
      <c r="AGZ11" s="23"/>
      <c r="AHA11" s="23"/>
      <c r="AHB11" s="23"/>
      <c r="AHC11" s="23"/>
      <c r="AHD11" s="23"/>
      <c r="AHE11" s="23"/>
      <c r="AHF11" s="23"/>
      <c r="AHG11" s="23"/>
      <c r="AHH11" s="23"/>
      <c r="AHI11" s="23"/>
      <c r="AHJ11" s="23"/>
      <c r="AHK11" s="23"/>
      <c r="AHL11" s="23"/>
      <c r="AHM11" s="23"/>
      <c r="AHN11" s="23"/>
      <c r="AHO11" s="23"/>
      <c r="AHP11" s="23"/>
      <c r="AHQ11" s="23"/>
      <c r="AHR11" s="23"/>
      <c r="AHS11" s="23"/>
      <c r="AHT11" s="23"/>
      <c r="AHU11" s="23"/>
      <c r="AHV11" s="23"/>
      <c r="AHW11" s="23"/>
      <c r="AHX11" s="23"/>
      <c r="AHY11" s="23"/>
      <c r="AHZ11" s="23"/>
      <c r="AIA11" s="23"/>
      <c r="AIB11" s="23"/>
      <c r="AIC11" s="23"/>
      <c r="AID11" s="23"/>
      <c r="AIE11" s="23"/>
      <c r="AIF11" s="23"/>
      <c r="AIG11" s="23"/>
      <c r="AIH11" s="23"/>
      <c r="AII11" s="23"/>
      <c r="AIJ11" s="23"/>
      <c r="AIK11" s="23"/>
      <c r="AIL11" s="23"/>
      <c r="AIM11" s="23"/>
      <c r="AIN11" s="23"/>
      <c r="AIO11" s="23"/>
      <c r="AIP11" s="23"/>
      <c r="AIQ11" s="23"/>
      <c r="AIR11" s="23"/>
      <c r="AIS11" s="23"/>
      <c r="AIT11" s="23"/>
      <c r="AIU11" s="23"/>
      <c r="AIV11" s="23"/>
      <c r="AIW11" s="23"/>
      <c r="AIX11" s="23"/>
      <c r="AIY11" s="23"/>
      <c r="AIZ11" s="23"/>
      <c r="AJA11" s="23"/>
      <c r="AJB11" s="23"/>
      <c r="AJC11" s="23"/>
      <c r="AJD11" s="23"/>
      <c r="AJE11" s="23"/>
      <c r="AJF11" s="23"/>
      <c r="AJG11" s="23"/>
      <c r="AJH11" s="23"/>
      <c r="AJI11" s="23"/>
      <c r="AJJ11" s="23"/>
      <c r="AJK11" s="23"/>
      <c r="AJL11" s="23"/>
      <c r="AJM11" s="23"/>
      <c r="AJN11" s="23"/>
      <c r="AJO11" s="23"/>
      <c r="AJP11" s="23"/>
      <c r="AJQ11" s="23"/>
      <c r="AJR11" s="23"/>
      <c r="AJS11" s="23"/>
      <c r="AJT11" s="23"/>
      <c r="AJU11" s="23"/>
      <c r="AJV11" s="23"/>
      <c r="AJW11" s="23"/>
      <c r="AJX11" s="23"/>
      <c r="AJY11" s="23"/>
      <c r="AJZ11" s="23"/>
      <c r="AKA11" s="23"/>
      <c r="AKB11" s="23"/>
      <c r="AKC11" s="23"/>
      <c r="AKD11" s="23"/>
      <c r="AKE11" s="23"/>
      <c r="AKF11" s="23"/>
      <c r="AKG11" s="23"/>
      <c r="AKH11" s="23"/>
      <c r="AKI11" s="23"/>
      <c r="AKJ11" s="23"/>
      <c r="AKK11" s="23"/>
      <c r="AKL11" s="23"/>
      <c r="AKM11" s="23"/>
      <c r="AKN11" s="23"/>
      <c r="AKO11" s="23"/>
      <c r="AKP11" s="23"/>
      <c r="AKQ11" s="23"/>
      <c r="AKR11" s="23"/>
      <c r="AKS11" s="23"/>
      <c r="AKT11" s="23"/>
      <c r="AKU11" s="23"/>
      <c r="AKV11" s="23"/>
      <c r="AKW11" s="23"/>
      <c r="AKX11" s="23"/>
      <c r="AKY11" s="23"/>
      <c r="AKZ11" s="23"/>
      <c r="ALA11" s="23"/>
      <c r="ALB11" s="23"/>
      <c r="ALC11" s="23"/>
      <c r="ALD11" s="23"/>
      <c r="ALE11" s="23"/>
      <c r="ALF11" s="23"/>
      <c r="ALG11" s="23"/>
      <c r="ALH11" s="23"/>
      <c r="ALI11" s="23"/>
      <c r="ALJ11" s="23"/>
      <c r="ALK11" s="23"/>
      <c r="ALL11" s="23"/>
      <c r="ALM11" s="23"/>
      <c r="ALN11" s="23"/>
      <c r="ALO11" s="23"/>
      <c r="ALP11" s="23"/>
      <c r="ALQ11" s="23"/>
      <c r="ALR11" s="23"/>
      <c r="ALS11" s="23"/>
      <c r="ALT11" s="23"/>
      <c r="ALU11" s="23"/>
      <c r="ALV11" s="23"/>
      <c r="ALW11" s="23"/>
      <c r="ALX11" s="23"/>
      <c r="ALY11" s="23"/>
      <c r="ALZ11" s="23"/>
      <c r="AMA11" s="23"/>
      <c r="AMB11" s="23"/>
      <c r="AMC11" s="23"/>
      <c r="AMD11" s="23"/>
    </row>
    <row r="12" customFormat="false" ht="15" hidden="false" customHeight="true" outlineLevel="0" collapsed="false">
      <c r="B12" s="70" t="s">
        <v>92</v>
      </c>
      <c r="C12" s="284" t="n">
        <f aca="false">VLOOKUP(B12,Unidades!$D$5:$G$24,4,)</f>
        <v>0.02</v>
      </c>
      <c r="D12" s="285" t="n">
        <f aca="false">'Base Blumenau'!AD14*12+'Base Blumenau'!AE14*4+'Base Blumenau'!AF14*2+'Base Blumenau'!AG14</f>
        <v>15875.2386044371</v>
      </c>
      <c r="E12" s="285" t="n">
        <f aca="false">'Base Blumenau'!AK14*12+'Base Blumenau'!AL14*4+'Base Blumenau'!AM14*2+'Base Blumenau'!AN14</f>
        <v>20172.6656946583</v>
      </c>
      <c r="G12" s="273" t="n">
        <v>0.05</v>
      </c>
      <c r="H12" s="286" t="n">
        <f aca="false">SUMIF(C$5:C$24,G12,D$5:D$24)</f>
        <v>23216.6533145031</v>
      </c>
      <c r="I12" s="286" t="n">
        <f aca="false">SUMIF(C$5:C$24,G12,E$5:E$24)</f>
        <v>30511.32578592</v>
      </c>
      <c r="J12" s="286" t="n">
        <f aca="false">H12*4</f>
        <v>92866.6132580125</v>
      </c>
      <c r="K12" s="286" t="n">
        <f aca="false">I12*4</f>
        <v>122045.30314368</v>
      </c>
      <c r="L12" s="287" t="n">
        <f aca="false">H12/H$14</f>
        <v>0.083492072252616</v>
      </c>
      <c r="M12" s="287" t="n">
        <f aca="false">I12/I$14</f>
        <v>0.0857013774144984</v>
      </c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  <c r="KL12" s="23"/>
      <c r="KM12" s="23"/>
      <c r="KN12" s="23"/>
      <c r="KO12" s="23"/>
      <c r="KP12" s="23"/>
      <c r="KQ12" s="23"/>
      <c r="KR12" s="23"/>
      <c r="KS12" s="23"/>
      <c r="KT12" s="23"/>
      <c r="KU12" s="23"/>
      <c r="KV12" s="23"/>
      <c r="KW12" s="23"/>
      <c r="KX12" s="23"/>
      <c r="KY12" s="23"/>
      <c r="KZ12" s="23"/>
      <c r="LA12" s="23"/>
      <c r="LB12" s="23"/>
      <c r="LC12" s="23"/>
      <c r="LD12" s="23"/>
      <c r="LE12" s="23"/>
      <c r="LF12" s="23"/>
      <c r="LG12" s="23"/>
      <c r="LH12" s="23"/>
      <c r="LI12" s="23"/>
      <c r="LJ12" s="23"/>
      <c r="LK12" s="23"/>
      <c r="LL12" s="23"/>
      <c r="LM12" s="23"/>
      <c r="LN12" s="23"/>
      <c r="LO12" s="23"/>
      <c r="LP12" s="23"/>
      <c r="LQ12" s="23"/>
      <c r="LR12" s="23"/>
      <c r="LS12" s="23"/>
      <c r="LT12" s="23"/>
      <c r="LU12" s="23"/>
      <c r="LV12" s="23"/>
      <c r="LW12" s="23"/>
      <c r="LX12" s="23"/>
      <c r="LY12" s="23"/>
      <c r="LZ12" s="23"/>
      <c r="MA12" s="23"/>
      <c r="MB12" s="23"/>
      <c r="MC12" s="23"/>
      <c r="MD12" s="23"/>
      <c r="ME12" s="23"/>
      <c r="MF12" s="23"/>
      <c r="MG12" s="23"/>
      <c r="MH12" s="23"/>
      <c r="MI12" s="23"/>
      <c r="MJ12" s="23"/>
      <c r="MK12" s="23"/>
      <c r="ML12" s="23"/>
      <c r="MM12" s="23"/>
      <c r="MN12" s="23"/>
      <c r="MO12" s="23"/>
      <c r="MP12" s="23"/>
      <c r="MQ12" s="23"/>
      <c r="MR12" s="23"/>
      <c r="MS12" s="23"/>
      <c r="MT12" s="23"/>
      <c r="MU12" s="23"/>
      <c r="MV12" s="23"/>
      <c r="MW12" s="23"/>
      <c r="MX12" s="23"/>
      <c r="MY12" s="23"/>
      <c r="MZ12" s="23"/>
      <c r="NA12" s="23"/>
      <c r="NB12" s="23"/>
      <c r="NC12" s="23"/>
      <c r="ND12" s="23"/>
      <c r="NE12" s="23"/>
      <c r="NF12" s="23"/>
      <c r="NG12" s="23"/>
      <c r="NH12" s="23"/>
      <c r="NI12" s="23"/>
      <c r="NJ12" s="23"/>
      <c r="NK12" s="23"/>
      <c r="NL12" s="23"/>
      <c r="NM12" s="23"/>
      <c r="NN12" s="23"/>
      <c r="NO12" s="23"/>
      <c r="NP12" s="23"/>
      <c r="NQ12" s="23"/>
      <c r="NR12" s="23"/>
      <c r="NS12" s="23"/>
      <c r="NT12" s="23"/>
      <c r="NU12" s="23"/>
      <c r="NV12" s="23"/>
      <c r="NW12" s="23"/>
      <c r="NX12" s="23"/>
      <c r="NY12" s="23"/>
      <c r="NZ12" s="23"/>
      <c r="OA12" s="23"/>
      <c r="OB12" s="23"/>
      <c r="OC12" s="23"/>
      <c r="OD12" s="23"/>
      <c r="OE12" s="23"/>
      <c r="OF12" s="23"/>
      <c r="OG12" s="23"/>
      <c r="OH12" s="23"/>
      <c r="OI12" s="23"/>
      <c r="OJ12" s="23"/>
      <c r="OK12" s="23"/>
      <c r="OL12" s="23"/>
      <c r="OM12" s="23"/>
      <c r="ON12" s="23"/>
      <c r="OO12" s="23"/>
      <c r="OP12" s="23"/>
      <c r="OQ12" s="23"/>
      <c r="OR12" s="23"/>
      <c r="OS12" s="23"/>
      <c r="OT12" s="23"/>
      <c r="OU12" s="23"/>
      <c r="OV12" s="23"/>
      <c r="OW12" s="23"/>
      <c r="OX12" s="23"/>
      <c r="OY12" s="23"/>
      <c r="OZ12" s="23"/>
      <c r="PA12" s="23"/>
      <c r="PB12" s="23"/>
      <c r="PC12" s="23"/>
      <c r="PD12" s="23"/>
      <c r="PE12" s="23"/>
      <c r="PF12" s="23"/>
      <c r="PG12" s="23"/>
      <c r="PH12" s="23"/>
      <c r="PI12" s="23"/>
      <c r="PJ12" s="23"/>
      <c r="PK12" s="23"/>
      <c r="PL12" s="23"/>
      <c r="PM12" s="23"/>
      <c r="PN12" s="23"/>
      <c r="PO12" s="23"/>
      <c r="PP12" s="23"/>
      <c r="PQ12" s="23"/>
      <c r="PR12" s="23"/>
      <c r="PS12" s="23"/>
      <c r="PT12" s="23"/>
      <c r="PU12" s="23"/>
      <c r="PV12" s="23"/>
      <c r="PW12" s="23"/>
      <c r="PX12" s="23"/>
      <c r="PY12" s="23"/>
      <c r="PZ12" s="23"/>
      <c r="QA12" s="23"/>
      <c r="QB12" s="23"/>
      <c r="QC12" s="23"/>
      <c r="QD12" s="23"/>
      <c r="QE12" s="23"/>
      <c r="QF12" s="23"/>
      <c r="QG12" s="23"/>
      <c r="QH12" s="23"/>
      <c r="QI12" s="23"/>
      <c r="QJ12" s="23"/>
      <c r="QK12" s="23"/>
      <c r="QL12" s="23"/>
      <c r="QM12" s="23"/>
      <c r="QN12" s="23"/>
      <c r="QO12" s="23"/>
      <c r="QP12" s="23"/>
      <c r="QQ12" s="23"/>
      <c r="QR12" s="23"/>
      <c r="QS12" s="23"/>
      <c r="QT12" s="23"/>
      <c r="QU12" s="23"/>
      <c r="QV12" s="23"/>
      <c r="QW12" s="23"/>
      <c r="QX12" s="23"/>
      <c r="QY12" s="23"/>
      <c r="QZ12" s="23"/>
      <c r="RA12" s="23"/>
      <c r="RB12" s="23"/>
      <c r="RC12" s="23"/>
      <c r="RD12" s="23"/>
      <c r="RE12" s="23"/>
      <c r="RF12" s="23"/>
      <c r="RG12" s="23"/>
      <c r="RH12" s="23"/>
      <c r="RI12" s="23"/>
      <c r="RJ12" s="23"/>
      <c r="RK12" s="23"/>
      <c r="RL12" s="23"/>
      <c r="RM12" s="23"/>
      <c r="RN12" s="23"/>
      <c r="RO12" s="23"/>
      <c r="RP12" s="23"/>
      <c r="RQ12" s="23"/>
      <c r="RR12" s="23"/>
      <c r="RS12" s="23"/>
      <c r="RT12" s="23"/>
      <c r="RU12" s="23"/>
      <c r="RV12" s="23"/>
      <c r="RW12" s="23"/>
      <c r="RX12" s="23"/>
      <c r="RY12" s="23"/>
      <c r="RZ12" s="23"/>
      <c r="SA12" s="23"/>
      <c r="SB12" s="23"/>
      <c r="SC12" s="23"/>
      <c r="SD12" s="23"/>
      <c r="SE12" s="23"/>
      <c r="SF12" s="23"/>
      <c r="SG12" s="23"/>
      <c r="SH12" s="23"/>
      <c r="SI12" s="23"/>
      <c r="SJ12" s="23"/>
      <c r="SK12" s="23"/>
      <c r="SL12" s="23"/>
      <c r="SM12" s="23"/>
      <c r="SN12" s="23"/>
      <c r="SO12" s="23"/>
      <c r="SP12" s="23"/>
      <c r="SQ12" s="23"/>
      <c r="SR12" s="23"/>
      <c r="SS12" s="23"/>
      <c r="ST12" s="23"/>
      <c r="SU12" s="23"/>
      <c r="SV12" s="23"/>
      <c r="SW12" s="23"/>
      <c r="SX12" s="23"/>
      <c r="SY12" s="23"/>
      <c r="SZ12" s="23"/>
      <c r="TA12" s="23"/>
      <c r="TB12" s="23"/>
      <c r="TC12" s="23"/>
      <c r="TD12" s="23"/>
      <c r="TE12" s="23"/>
      <c r="TF12" s="23"/>
      <c r="TG12" s="23"/>
      <c r="TH12" s="23"/>
      <c r="TI12" s="23"/>
      <c r="TJ12" s="23"/>
      <c r="TK12" s="23"/>
      <c r="TL12" s="23"/>
      <c r="TM12" s="23"/>
      <c r="TN12" s="23"/>
      <c r="TO12" s="23"/>
      <c r="TP12" s="23"/>
      <c r="TQ12" s="23"/>
      <c r="TR12" s="23"/>
      <c r="TS12" s="23"/>
      <c r="TT12" s="23"/>
      <c r="TU12" s="23"/>
      <c r="TV12" s="23"/>
      <c r="TW12" s="23"/>
      <c r="TX12" s="23"/>
      <c r="TY12" s="23"/>
      <c r="TZ12" s="23"/>
      <c r="UA12" s="23"/>
      <c r="UB12" s="23"/>
      <c r="UC12" s="23"/>
      <c r="UD12" s="23"/>
      <c r="UE12" s="23"/>
      <c r="UF12" s="23"/>
      <c r="UG12" s="23"/>
      <c r="UH12" s="23"/>
      <c r="UI12" s="23"/>
      <c r="UJ12" s="23"/>
      <c r="UK12" s="23"/>
      <c r="UL12" s="23"/>
      <c r="UM12" s="23"/>
      <c r="UN12" s="23"/>
      <c r="UO12" s="23"/>
      <c r="UP12" s="23"/>
      <c r="UQ12" s="23"/>
      <c r="UR12" s="23"/>
      <c r="US12" s="23"/>
      <c r="UT12" s="23"/>
      <c r="UU12" s="23"/>
      <c r="UV12" s="23"/>
      <c r="UW12" s="23"/>
      <c r="UX12" s="23"/>
      <c r="UY12" s="23"/>
      <c r="UZ12" s="23"/>
      <c r="VA12" s="23"/>
      <c r="VB12" s="23"/>
      <c r="VC12" s="23"/>
      <c r="VD12" s="23"/>
      <c r="VE12" s="23"/>
      <c r="VF12" s="23"/>
      <c r="VG12" s="23"/>
      <c r="VH12" s="23"/>
      <c r="VI12" s="23"/>
      <c r="VJ12" s="23"/>
      <c r="VK12" s="23"/>
      <c r="VL12" s="23"/>
      <c r="VM12" s="23"/>
      <c r="VN12" s="23"/>
      <c r="VO12" s="23"/>
      <c r="VP12" s="23"/>
      <c r="VQ12" s="23"/>
      <c r="VR12" s="23"/>
      <c r="VS12" s="23"/>
      <c r="VT12" s="23"/>
      <c r="VU12" s="23"/>
      <c r="VV12" s="23"/>
      <c r="VW12" s="23"/>
      <c r="VX12" s="23"/>
      <c r="VY12" s="23"/>
      <c r="VZ12" s="23"/>
      <c r="WA12" s="23"/>
      <c r="WB12" s="23"/>
      <c r="WC12" s="23"/>
      <c r="WD12" s="23"/>
      <c r="WE12" s="23"/>
      <c r="WF12" s="23"/>
      <c r="WG12" s="23"/>
      <c r="WH12" s="23"/>
      <c r="WI12" s="23"/>
      <c r="WJ12" s="23"/>
      <c r="WK12" s="23"/>
      <c r="WL12" s="23"/>
      <c r="WM12" s="23"/>
      <c r="WN12" s="23"/>
      <c r="WO12" s="23"/>
      <c r="WP12" s="23"/>
      <c r="WQ12" s="23"/>
      <c r="WR12" s="23"/>
      <c r="WS12" s="23"/>
      <c r="WT12" s="23"/>
      <c r="WU12" s="23"/>
      <c r="WV12" s="23"/>
      <c r="WW12" s="23"/>
      <c r="WX12" s="23"/>
      <c r="WY12" s="23"/>
      <c r="WZ12" s="23"/>
      <c r="XA12" s="23"/>
      <c r="XB12" s="23"/>
      <c r="XC12" s="23"/>
      <c r="XD12" s="23"/>
      <c r="XE12" s="23"/>
      <c r="XF12" s="23"/>
      <c r="XG12" s="23"/>
      <c r="XH12" s="23"/>
      <c r="XI12" s="23"/>
      <c r="XJ12" s="23"/>
      <c r="XK12" s="23"/>
      <c r="XL12" s="23"/>
      <c r="XM12" s="23"/>
      <c r="XN12" s="23"/>
      <c r="XO12" s="23"/>
      <c r="XP12" s="23"/>
      <c r="XQ12" s="23"/>
      <c r="XR12" s="23"/>
      <c r="XS12" s="23"/>
      <c r="XT12" s="23"/>
      <c r="XU12" s="23"/>
      <c r="XV12" s="23"/>
      <c r="XW12" s="23"/>
      <c r="XX12" s="23"/>
      <c r="XY12" s="23"/>
      <c r="XZ12" s="23"/>
      <c r="YA12" s="23"/>
      <c r="YB12" s="23"/>
      <c r="YC12" s="23"/>
      <c r="YD12" s="23"/>
      <c r="YE12" s="23"/>
      <c r="YF12" s="23"/>
      <c r="YG12" s="23"/>
      <c r="YH12" s="23"/>
      <c r="YI12" s="23"/>
      <c r="YJ12" s="23"/>
      <c r="YK12" s="23"/>
      <c r="YL12" s="23"/>
      <c r="YM12" s="23"/>
      <c r="YN12" s="23"/>
      <c r="YO12" s="23"/>
      <c r="YP12" s="23"/>
      <c r="YQ12" s="23"/>
      <c r="YR12" s="23"/>
      <c r="YS12" s="23"/>
      <c r="YT12" s="23"/>
      <c r="YU12" s="23"/>
      <c r="YV12" s="23"/>
      <c r="YW12" s="23"/>
      <c r="YX12" s="23"/>
      <c r="YY12" s="23"/>
      <c r="YZ12" s="23"/>
      <c r="ZA12" s="23"/>
      <c r="ZB12" s="23"/>
      <c r="ZC12" s="23"/>
      <c r="ZD12" s="23"/>
      <c r="ZE12" s="23"/>
      <c r="ZF12" s="23"/>
      <c r="ZG12" s="23"/>
      <c r="ZH12" s="23"/>
      <c r="ZI12" s="23"/>
      <c r="ZJ12" s="23"/>
      <c r="ZK12" s="23"/>
      <c r="ZL12" s="23"/>
      <c r="ZM12" s="23"/>
      <c r="ZN12" s="23"/>
      <c r="ZO12" s="23"/>
      <c r="ZP12" s="23"/>
      <c r="ZQ12" s="23"/>
      <c r="ZR12" s="23"/>
      <c r="ZS12" s="23"/>
      <c r="ZT12" s="23"/>
      <c r="ZU12" s="23"/>
      <c r="ZV12" s="23"/>
      <c r="ZW12" s="23"/>
      <c r="ZX12" s="23"/>
      <c r="ZY12" s="23"/>
      <c r="ZZ12" s="23"/>
      <c r="AAA12" s="23"/>
      <c r="AAB12" s="23"/>
      <c r="AAC12" s="23"/>
      <c r="AAD12" s="23"/>
      <c r="AAE12" s="23"/>
      <c r="AAF12" s="23"/>
      <c r="AAG12" s="23"/>
      <c r="AAH12" s="23"/>
      <c r="AAI12" s="23"/>
      <c r="AAJ12" s="23"/>
      <c r="AAK12" s="23"/>
      <c r="AAL12" s="23"/>
      <c r="AAM12" s="23"/>
      <c r="AAN12" s="23"/>
      <c r="AAO12" s="23"/>
      <c r="AAP12" s="23"/>
      <c r="AAQ12" s="23"/>
      <c r="AAR12" s="23"/>
      <c r="AAS12" s="23"/>
      <c r="AAT12" s="23"/>
      <c r="AAU12" s="23"/>
      <c r="AAV12" s="23"/>
      <c r="AAW12" s="23"/>
      <c r="AAX12" s="23"/>
      <c r="AAY12" s="23"/>
      <c r="AAZ12" s="23"/>
      <c r="ABA12" s="23"/>
      <c r="ABB12" s="23"/>
      <c r="ABC12" s="23"/>
      <c r="ABD12" s="23"/>
      <c r="ABE12" s="23"/>
      <c r="ABF12" s="23"/>
      <c r="ABG12" s="23"/>
      <c r="ABH12" s="23"/>
      <c r="ABI12" s="23"/>
      <c r="ABJ12" s="23"/>
      <c r="ABK12" s="23"/>
      <c r="ABL12" s="23"/>
      <c r="ABM12" s="23"/>
      <c r="ABN12" s="23"/>
      <c r="ABO12" s="23"/>
      <c r="ABP12" s="23"/>
      <c r="ABQ12" s="23"/>
      <c r="ABR12" s="23"/>
      <c r="ABS12" s="23"/>
      <c r="ABT12" s="23"/>
      <c r="ABU12" s="23"/>
      <c r="ABV12" s="23"/>
      <c r="ABW12" s="23"/>
      <c r="ABX12" s="23"/>
      <c r="ABY12" s="23"/>
      <c r="ABZ12" s="23"/>
      <c r="ACA12" s="23"/>
      <c r="ACB12" s="23"/>
      <c r="ACC12" s="23"/>
      <c r="ACD12" s="23"/>
      <c r="ACE12" s="23"/>
      <c r="ACF12" s="23"/>
      <c r="ACG12" s="23"/>
      <c r="ACH12" s="23"/>
      <c r="ACI12" s="23"/>
      <c r="ACJ12" s="23"/>
      <c r="ACK12" s="23"/>
      <c r="ACL12" s="23"/>
      <c r="ACM12" s="23"/>
      <c r="ACN12" s="23"/>
      <c r="ACO12" s="23"/>
      <c r="ACP12" s="23"/>
      <c r="ACQ12" s="23"/>
      <c r="ACR12" s="23"/>
      <c r="ACS12" s="23"/>
      <c r="ACT12" s="23"/>
      <c r="ACU12" s="23"/>
      <c r="ACV12" s="23"/>
      <c r="ACW12" s="23"/>
      <c r="ACX12" s="23"/>
      <c r="ACY12" s="23"/>
      <c r="ACZ12" s="23"/>
      <c r="ADA12" s="23"/>
      <c r="ADB12" s="23"/>
      <c r="ADC12" s="23"/>
      <c r="ADD12" s="23"/>
      <c r="ADE12" s="23"/>
      <c r="ADF12" s="23"/>
      <c r="ADG12" s="23"/>
      <c r="ADH12" s="23"/>
      <c r="ADI12" s="23"/>
      <c r="ADJ12" s="23"/>
      <c r="ADK12" s="23"/>
      <c r="ADL12" s="23"/>
      <c r="ADM12" s="23"/>
      <c r="ADN12" s="23"/>
      <c r="ADO12" s="23"/>
      <c r="ADP12" s="23"/>
      <c r="ADQ12" s="23"/>
      <c r="ADR12" s="23"/>
      <c r="ADS12" s="23"/>
      <c r="ADT12" s="23"/>
      <c r="ADU12" s="23"/>
      <c r="ADV12" s="23"/>
      <c r="ADW12" s="23"/>
      <c r="ADX12" s="23"/>
      <c r="ADY12" s="23"/>
      <c r="ADZ12" s="23"/>
      <c r="AEA12" s="23"/>
      <c r="AEB12" s="23"/>
      <c r="AEC12" s="23"/>
      <c r="AED12" s="23"/>
      <c r="AEE12" s="23"/>
      <c r="AEF12" s="23"/>
      <c r="AEG12" s="23"/>
      <c r="AEH12" s="23"/>
      <c r="AEI12" s="23"/>
      <c r="AEJ12" s="23"/>
      <c r="AEK12" s="23"/>
      <c r="AEL12" s="23"/>
      <c r="AEM12" s="23"/>
      <c r="AEN12" s="23"/>
      <c r="AEO12" s="23"/>
      <c r="AEP12" s="23"/>
      <c r="AEQ12" s="23"/>
      <c r="AER12" s="23"/>
      <c r="AES12" s="23"/>
      <c r="AET12" s="23"/>
      <c r="AEU12" s="23"/>
      <c r="AEV12" s="23"/>
      <c r="AEW12" s="23"/>
      <c r="AEX12" s="23"/>
      <c r="AEY12" s="23"/>
      <c r="AEZ12" s="23"/>
      <c r="AFA12" s="23"/>
      <c r="AFB12" s="23"/>
      <c r="AFC12" s="23"/>
      <c r="AFD12" s="23"/>
      <c r="AFE12" s="23"/>
      <c r="AFF12" s="23"/>
      <c r="AFG12" s="23"/>
      <c r="AFH12" s="23"/>
      <c r="AFI12" s="23"/>
      <c r="AFJ12" s="23"/>
      <c r="AFK12" s="23"/>
      <c r="AFL12" s="23"/>
      <c r="AFM12" s="23"/>
      <c r="AFN12" s="23"/>
      <c r="AFO12" s="23"/>
      <c r="AFP12" s="23"/>
      <c r="AFQ12" s="23"/>
      <c r="AFR12" s="23"/>
      <c r="AFS12" s="23"/>
      <c r="AFT12" s="23"/>
      <c r="AFU12" s="23"/>
      <c r="AFV12" s="23"/>
      <c r="AFW12" s="23"/>
      <c r="AFX12" s="23"/>
      <c r="AFY12" s="23"/>
      <c r="AFZ12" s="23"/>
      <c r="AGA12" s="23"/>
      <c r="AGB12" s="23"/>
      <c r="AGC12" s="23"/>
      <c r="AGD12" s="23"/>
      <c r="AGE12" s="23"/>
      <c r="AGF12" s="23"/>
      <c r="AGG12" s="23"/>
      <c r="AGH12" s="23"/>
      <c r="AGI12" s="23"/>
      <c r="AGJ12" s="23"/>
      <c r="AGK12" s="23"/>
      <c r="AGL12" s="23"/>
      <c r="AGM12" s="23"/>
      <c r="AGN12" s="23"/>
      <c r="AGO12" s="23"/>
      <c r="AGP12" s="23"/>
      <c r="AGQ12" s="23"/>
      <c r="AGR12" s="23"/>
      <c r="AGS12" s="23"/>
      <c r="AGT12" s="23"/>
      <c r="AGU12" s="23"/>
      <c r="AGV12" s="23"/>
      <c r="AGW12" s="23"/>
      <c r="AGX12" s="23"/>
      <c r="AGY12" s="23"/>
      <c r="AGZ12" s="23"/>
      <c r="AHA12" s="23"/>
      <c r="AHB12" s="23"/>
      <c r="AHC12" s="23"/>
      <c r="AHD12" s="23"/>
      <c r="AHE12" s="23"/>
      <c r="AHF12" s="23"/>
      <c r="AHG12" s="23"/>
      <c r="AHH12" s="23"/>
      <c r="AHI12" s="23"/>
      <c r="AHJ12" s="23"/>
      <c r="AHK12" s="23"/>
      <c r="AHL12" s="23"/>
      <c r="AHM12" s="23"/>
      <c r="AHN12" s="23"/>
      <c r="AHO12" s="23"/>
      <c r="AHP12" s="23"/>
      <c r="AHQ12" s="23"/>
      <c r="AHR12" s="23"/>
      <c r="AHS12" s="23"/>
      <c r="AHT12" s="23"/>
      <c r="AHU12" s="23"/>
      <c r="AHV12" s="23"/>
      <c r="AHW12" s="23"/>
      <c r="AHX12" s="23"/>
      <c r="AHY12" s="23"/>
      <c r="AHZ12" s="23"/>
      <c r="AIA12" s="23"/>
      <c r="AIB12" s="23"/>
      <c r="AIC12" s="23"/>
      <c r="AID12" s="23"/>
      <c r="AIE12" s="23"/>
      <c r="AIF12" s="23"/>
      <c r="AIG12" s="23"/>
      <c r="AIH12" s="23"/>
      <c r="AII12" s="23"/>
      <c r="AIJ12" s="23"/>
      <c r="AIK12" s="23"/>
      <c r="AIL12" s="23"/>
      <c r="AIM12" s="23"/>
      <c r="AIN12" s="23"/>
      <c r="AIO12" s="23"/>
      <c r="AIP12" s="23"/>
      <c r="AIQ12" s="23"/>
      <c r="AIR12" s="23"/>
      <c r="AIS12" s="23"/>
      <c r="AIT12" s="23"/>
      <c r="AIU12" s="23"/>
      <c r="AIV12" s="23"/>
      <c r="AIW12" s="23"/>
      <c r="AIX12" s="23"/>
      <c r="AIY12" s="23"/>
      <c r="AIZ12" s="23"/>
      <c r="AJA12" s="23"/>
      <c r="AJB12" s="23"/>
      <c r="AJC12" s="23"/>
      <c r="AJD12" s="23"/>
      <c r="AJE12" s="23"/>
      <c r="AJF12" s="23"/>
      <c r="AJG12" s="23"/>
      <c r="AJH12" s="23"/>
      <c r="AJI12" s="23"/>
      <c r="AJJ12" s="23"/>
      <c r="AJK12" s="23"/>
      <c r="AJL12" s="23"/>
      <c r="AJM12" s="23"/>
      <c r="AJN12" s="23"/>
      <c r="AJO12" s="23"/>
      <c r="AJP12" s="23"/>
      <c r="AJQ12" s="23"/>
      <c r="AJR12" s="23"/>
      <c r="AJS12" s="23"/>
      <c r="AJT12" s="23"/>
      <c r="AJU12" s="23"/>
      <c r="AJV12" s="23"/>
      <c r="AJW12" s="23"/>
      <c r="AJX12" s="23"/>
      <c r="AJY12" s="23"/>
      <c r="AJZ12" s="23"/>
      <c r="AKA12" s="23"/>
      <c r="AKB12" s="23"/>
      <c r="AKC12" s="23"/>
      <c r="AKD12" s="23"/>
      <c r="AKE12" s="23"/>
      <c r="AKF12" s="23"/>
      <c r="AKG12" s="23"/>
      <c r="AKH12" s="23"/>
      <c r="AKI12" s="23"/>
      <c r="AKJ12" s="23"/>
      <c r="AKK12" s="23"/>
      <c r="AKL12" s="23"/>
      <c r="AKM12" s="23"/>
      <c r="AKN12" s="23"/>
      <c r="AKO12" s="23"/>
      <c r="AKP12" s="23"/>
      <c r="AKQ12" s="23"/>
      <c r="AKR12" s="23"/>
      <c r="AKS12" s="23"/>
      <c r="AKT12" s="23"/>
      <c r="AKU12" s="23"/>
      <c r="AKV12" s="23"/>
      <c r="AKW12" s="23"/>
      <c r="AKX12" s="23"/>
      <c r="AKY12" s="23"/>
      <c r="AKZ12" s="23"/>
      <c r="ALA12" s="23"/>
      <c r="ALB12" s="23"/>
      <c r="ALC12" s="23"/>
      <c r="ALD12" s="23"/>
      <c r="ALE12" s="23"/>
      <c r="ALF12" s="23"/>
      <c r="ALG12" s="23"/>
      <c r="ALH12" s="23"/>
      <c r="ALI12" s="23"/>
      <c r="ALJ12" s="23"/>
      <c r="ALK12" s="23"/>
      <c r="ALL12" s="23"/>
      <c r="ALM12" s="23"/>
      <c r="ALN12" s="23"/>
      <c r="ALO12" s="23"/>
      <c r="ALP12" s="23"/>
      <c r="ALQ12" s="23"/>
      <c r="ALR12" s="23"/>
      <c r="ALS12" s="23"/>
      <c r="ALT12" s="23"/>
      <c r="ALU12" s="23"/>
      <c r="ALV12" s="23"/>
      <c r="ALW12" s="23"/>
      <c r="ALX12" s="23"/>
      <c r="ALY12" s="23"/>
      <c r="ALZ12" s="23"/>
      <c r="AMA12" s="23"/>
      <c r="AMB12" s="23"/>
      <c r="AMC12" s="23"/>
      <c r="AMD12" s="23"/>
    </row>
    <row r="13" customFormat="false" ht="15" hidden="false" customHeight="true" outlineLevel="0" collapsed="false">
      <c r="A13" s="23"/>
      <c r="B13" s="70" t="s">
        <v>94</v>
      </c>
      <c r="C13" s="284" t="n">
        <f aca="false">VLOOKUP(B13,Unidades!$D$5:$G$24,4,)</f>
        <v>0.035</v>
      </c>
      <c r="D13" s="285" t="n">
        <f aca="false">'Base Blumenau'!AD15*12+'Base Blumenau'!AE15*4+'Base Blumenau'!AF15*2+'Base Blumenau'!AG15</f>
        <v>11836.0432367497</v>
      </c>
      <c r="E13" s="285" t="n">
        <f aca="false">'Base Blumenau'!AK15*12+'Base Blumenau'!AL15*4+'Base Blumenau'!AM15*2+'Base Blumenau'!AN15</f>
        <v>15293.3514662043</v>
      </c>
      <c r="G13" s="24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  <c r="JH13" s="23"/>
      <c r="JI13" s="23"/>
      <c r="JJ13" s="23"/>
      <c r="JK13" s="23"/>
      <c r="JL13" s="23"/>
      <c r="JM13" s="23"/>
      <c r="JN13" s="23"/>
      <c r="JO13" s="23"/>
      <c r="JP13" s="23"/>
      <c r="JQ13" s="23"/>
      <c r="JR13" s="23"/>
      <c r="JS13" s="23"/>
      <c r="JT13" s="23"/>
      <c r="JU13" s="23"/>
      <c r="JV13" s="23"/>
      <c r="JW13" s="23"/>
      <c r="JX13" s="23"/>
      <c r="JY13" s="23"/>
      <c r="JZ13" s="23"/>
      <c r="KA13" s="23"/>
      <c r="KB13" s="23"/>
      <c r="KC13" s="23"/>
      <c r="KD13" s="23"/>
      <c r="KE13" s="23"/>
      <c r="KF13" s="23"/>
      <c r="KG13" s="23"/>
      <c r="KH13" s="23"/>
      <c r="KI13" s="23"/>
      <c r="KJ13" s="23"/>
      <c r="KK13" s="23"/>
      <c r="KL13" s="23"/>
      <c r="KM13" s="23"/>
      <c r="KN13" s="23"/>
      <c r="KO13" s="23"/>
      <c r="KP13" s="23"/>
      <c r="KQ13" s="23"/>
      <c r="KR13" s="23"/>
      <c r="KS13" s="23"/>
      <c r="KT13" s="23"/>
      <c r="KU13" s="23"/>
      <c r="KV13" s="23"/>
      <c r="KW13" s="23"/>
      <c r="KX13" s="23"/>
      <c r="KY13" s="23"/>
      <c r="KZ13" s="23"/>
      <c r="LA13" s="23"/>
      <c r="LB13" s="23"/>
      <c r="LC13" s="23"/>
      <c r="LD13" s="23"/>
      <c r="LE13" s="23"/>
      <c r="LF13" s="23"/>
      <c r="LG13" s="23"/>
      <c r="LH13" s="23"/>
      <c r="LI13" s="23"/>
      <c r="LJ13" s="23"/>
      <c r="LK13" s="23"/>
      <c r="LL13" s="23"/>
      <c r="LM13" s="23"/>
      <c r="LN13" s="23"/>
      <c r="LO13" s="23"/>
      <c r="LP13" s="23"/>
      <c r="LQ13" s="23"/>
      <c r="LR13" s="23"/>
      <c r="LS13" s="23"/>
      <c r="LT13" s="23"/>
      <c r="LU13" s="23"/>
      <c r="LV13" s="23"/>
      <c r="LW13" s="23"/>
      <c r="LX13" s="23"/>
      <c r="LY13" s="23"/>
      <c r="LZ13" s="23"/>
      <c r="MA13" s="23"/>
      <c r="MB13" s="23"/>
      <c r="MC13" s="23"/>
      <c r="MD13" s="23"/>
      <c r="ME13" s="23"/>
      <c r="MF13" s="23"/>
      <c r="MG13" s="23"/>
      <c r="MH13" s="23"/>
      <c r="MI13" s="23"/>
      <c r="MJ13" s="23"/>
      <c r="MK13" s="23"/>
      <c r="ML13" s="23"/>
      <c r="MM13" s="23"/>
      <c r="MN13" s="23"/>
      <c r="MO13" s="23"/>
      <c r="MP13" s="23"/>
      <c r="MQ13" s="23"/>
      <c r="MR13" s="23"/>
      <c r="MS13" s="23"/>
      <c r="MT13" s="23"/>
      <c r="MU13" s="23"/>
      <c r="MV13" s="23"/>
      <c r="MW13" s="23"/>
      <c r="MX13" s="23"/>
      <c r="MY13" s="23"/>
      <c r="MZ13" s="23"/>
      <c r="NA13" s="23"/>
      <c r="NB13" s="23"/>
      <c r="NC13" s="23"/>
      <c r="ND13" s="23"/>
      <c r="NE13" s="23"/>
      <c r="NF13" s="23"/>
      <c r="NG13" s="23"/>
      <c r="NH13" s="23"/>
      <c r="NI13" s="23"/>
      <c r="NJ13" s="23"/>
      <c r="NK13" s="23"/>
      <c r="NL13" s="23"/>
      <c r="NM13" s="23"/>
      <c r="NN13" s="23"/>
      <c r="NO13" s="23"/>
      <c r="NP13" s="23"/>
      <c r="NQ13" s="23"/>
      <c r="NR13" s="23"/>
      <c r="NS13" s="23"/>
      <c r="NT13" s="23"/>
      <c r="NU13" s="23"/>
      <c r="NV13" s="23"/>
      <c r="NW13" s="23"/>
      <c r="NX13" s="23"/>
      <c r="NY13" s="23"/>
      <c r="NZ13" s="23"/>
      <c r="OA13" s="23"/>
      <c r="OB13" s="23"/>
      <c r="OC13" s="23"/>
      <c r="OD13" s="23"/>
      <c r="OE13" s="23"/>
      <c r="OF13" s="23"/>
      <c r="OG13" s="23"/>
      <c r="OH13" s="23"/>
      <c r="OI13" s="23"/>
      <c r="OJ13" s="23"/>
      <c r="OK13" s="23"/>
      <c r="OL13" s="23"/>
      <c r="OM13" s="23"/>
      <c r="ON13" s="23"/>
      <c r="OO13" s="23"/>
      <c r="OP13" s="23"/>
      <c r="OQ13" s="23"/>
      <c r="OR13" s="23"/>
      <c r="OS13" s="23"/>
      <c r="OT13" s="23"/>
      <c r="OU13" s="23"/>
      <c r="OV13" s="23"/>
      <c r="OW13" s="23"/>
      <c r="OX13" s="23"/>
      <c r="OY13" s="23"/>
      <c r="OZ13" s="23"/>
      <c r="PA13" s="23"/>
      <c r="PB13" s="23"/>
      <c r="PC13" s="23"/>
      <c r="PD13" s="23"/>
      <c r="PE13" s="23"/>
      <c r="PF13" s="23"/>
      <c r="PG13" s="23"/>
      <c r="PH13" s="23"/>
      <c r="PI13" s="23"/>
      <c r="PJ13" s="23"/>
      <c r="PK13" s="23"/>
      <c r="PL13" s="23"/>
      <c r="PM13" s="23"/>
      <c r="PN13" s="23"/>
      <c r="PO13" s="23"/>
      <c r="PP13" s="23"/>
      <c r="PQ13" s="23"/>
      <c r="PR13" s="23"/>
      <c r="PS13" s="23"/>
      <c r="PT13" s="23"/>
      <c r="PU13" s="23"/>
      <c r="PV13" s="23"/>
      <c r="PW13" s="23"/>
      <c r="PX13" s="23"/>
      <c r="PY13" s="23"/>
      <c r="PZ13" s="23"/>
      <c r="QA13" s="23"/>
      <c r="QB13" s="23"/>
      <c r="QC13" s="23"/>
      <c r="QD13" s="23"/>
      <c r="QE13" s="23"/>
      <c r="QF13" s="23"/>
      <c r="QG13" s="23"/>
      <c r="QH13" s="23"/>
      <c r="QI13" s="23"/>
      <c r="QJ13" s="23"/>
      <c r="QK13" s="23"/>
      <c r="QL13" s="23"/>
      <c r="QM13" s="23"/>
      <c r="QN13" s="23"/>
      <c r="QO13" s="23"/>
      <c r="QP13" s="23"/>
      <c r="QQ13" s="23"/>
      <c r="QR13" s="23"/>
      <c r="QS13" s="23"/>
      <c r="QT13" s="23"/>
      <c r="QU13" s="23"/>
      <c r="QV13" s="23"/>
      <c r="QW13" s="23"/>
      <c r="QX13" s="23"/>
      <c r="QY13" s="23"/>
      <c r="QZ13" s="23"/>
      <c r="RA13" s="23"/>
      <c r="RB13" s="23"/>
      <c r="RC13" s="23"/>
      <c r="RD13" s="23"/>
      <c r="RE13" s="23"/>
      <c r="RF13" s="23"/>
      <c r="RG13" s="23"/>
      <c r="RH13" s="23"/>
      <c r="RI13" s="23"/>
      <c r="RJ13" s="23"/>
      <c r="RK13" s="23"/>
      <c r="RL13" s="23"/>
      <c r="RM13" s="23"/>
      <c r="RN13" s="23"/>
      <c r="RO13" s="23"/>
      <c r="RP13" s="23"/>
      <c r="RQ13" s="23"/>
      <c r="RR13" s="23"/>
      <c r="RS13" s="23"/>
      <c r="RT13" s="23"/>
      <c r="RU13" s="23"/>
      <c r="RV13" s="23"/>
      <c r="RW13" s="23"/>
      <c r="RX13" s="23"/>
      <c r="RY13" s="23"/>
      <c r="RZ13" s="23"/>
      <c r="SA13" s="23"/>
      <c r="SB13" s="23"/>
      <c r="SC13" s="23"/>
      <c r="SD13" s="23"/>
      <c r="SE13" s="23"/>
      <c r="SF13" s="23"/>
      <c r="SG13" s="23"/>
      <c r="SH13" s="23"/>
      <c r="SI13" s="23"/>
      <c r="SJ13" s="23"/>
      <c r="SK13" s="23"/>
      <c r="SL13" s="23"/>
      <c r="SM13" s="23"/>
      <c r="SN13" s="23"/>
      <c r="SO13" s="23"/>
      <c r="SP13" s="23"/>
      <c r="SQ13" s="23"/>
      <c r="SR13" s="23"/>
      <c r="SS13" s="23"/>
      <c r="ST13" s="23"/>
      <c r="SU13" s="23"/>
      <c r="SV13" s="23"/>
      <c r="SW13" s="23"/>
      <c r="SX13" s="23"/>
      <c r="SY13" s="23"/>
      <c r="SZ13" s="23"/>
      <c r="TA13" s="23"/>
      <c r="TB13" s="23"/>
      <c r="TC13" s="23"/>
      <c r="TD13" s="23"/>
      <c r="TE13" s="23"/>
      <c r="TF13" s="23"/>
      <c r="TG13" s="23"/>
      <c r="TH13" s="23"/>
      <c r="TI13" s="23"/>
      <c r="TJ13" s="23"/>
      <c r="TK13" s="23"/>
      <c r="TL13" s="23"/>
      <c r="TM13" s="23"/>
      <c r="TN13" s="23"/>
      <c r="TO13" s="23"/>
      <c r="TP13" s="23"/>
      <c r="TQ13" s="23"/>
      <c r="TR13" s="23"/>
      <c r="TS13" s="23"/>
      <c r="TT13" s="23"/>
      <c r="TU13" s="23"/>
      <c r="TV13" s="23"/>
      <c r="TW13" s="23"/>
      <c r="TX13" s="23"/>
      <c r="TY13" s="23"/>
      <c r="TZ13" s="23"/>
      <c r="UA13" s="23"/>
      <c r="UB13" s="23"/>
      <c r="UC13" s="23"/>
      <c r="UD13" s="23"/>
      <c r="UE13" s="23"/>
      <c r="UF13" s="23"/>
      <c r="UG13" s="23"/>
      <c r="UH13" s="23"/>
      <c r="UI13" s="23"/>
      <c r="UJ13" s="23"/>
      <c r="UK13" s="23"/>
      <c r="UL13" s="23"/>
      <c r="UM13" s="23"/>
      <c r="UN13" s="23"/>
      <c r="UO13" s="23"/>
      <c r="UP13" s="23"/>
      <c r="UQ13" s="23"/>
      <c r="UR13" s="23"/>
      <c r="US13" s="23"/>
      <c r="UT13" s="23"/>
      <c r="UU13" s="23"/>
      <c r="UV13" s="23"/>
      <c r="UW13" s="23"/>
      <c r="UX13" s="23"/>
      <c r="UY13" s="23"/>
      <c r="UZ13" s="23"/>
      <c r="VA13" s="23"/>
      <c r="VB13" s="23"/>
      <c r="VC13" s="23"/>
      <c r="VD13" s="23"/>
      <c r="VE13" s="23"/>
      <c r="VF13" s="23"/>
      <c r="VG13" s="23"/>
      <c r="VH13" s="23"/>
      <c r="VI13" s="23"/>
      <c r="VJ13" s="23"/>
      <c r="VK13" s="23"/>
      <c r="VL13" s="23"/>
      <c r="VM13" s="23"/>
      <c r="VN13" s="23"/>
      <c r="VO13" s="23"/>
      <c r="VP13" s="23"/>
      <c r="VQ13" s="23"/>
      <c r="VR13" s="23"/>
      <c r="VS13" s="23"/>
      <c r="VT13" s="23"/>
      <c r="VU13" s="23"/>
      <c r="VV13" s="23"/>
      <c r="VW13" s="23"/>
      <c r="VX13" s="23"/>
      <c r="VY13" s="23"/>
      <c r="VZ13" s="23"/>
      <c r="WA13" s="23"/>
      <c r="WB13" s="23"/>
      <c r="WC13" s="23"/>
      <c r="WD13" s="23"/>
      <c r="WE13" s="23"/>
      <c r="WF13" s="23"/>
      <c r="WG13" s="23"/>
      <c r="WH13" s="23"/>
      <c r="WI13" s="23"/>
      <c r="WJ13" s="23"/>
      <c r="WK13" s="23"/>
      <c r="WL13" s="23"/>
      <c r="WM13" s="23"/>
      <c r="WN13" s="23"/>
      <c r="WO13" s="23"/>
      <c r="WP13" s="23"/>
      <c r="WQ13" s="23"/>
      <c r="WR13" s="23"/>
      <c r="WS13" s="23"/>
      <c r="WT13" s="23"/>
      <c r="WU13" s="23"/>
      <c r="WV13" s="23"/>
      <c r="WW13" s="23"/>
      <c r="WX13" s="23"/>
      <c r="WY13" s="23"/>
      <c r="WZ13" s="23"/>
      <c r="XA13" s="23"/>
      <c r="XB13" s="23"/>
      <c r="XC13" s="23"/>
      <c r="XD13" s="23"/>
      <c r="XE13" s="23"/>
      <c r="XF13" s="23"/>
      <c r="XG13" s="23"/>
      <c r="XH13" s="23"/>
      <c r="XI13" s="23"/>
      <c r="XJ13" s="23"/>
      <c r="XK13" s="23"/>
      <c r="XL13" s="23"/>
      <c r="XM13" s="23"/>
      <c r="XN13" s="23"/>
      <c r="XO13" s="23"/>
      <c r="XP13" s="23"/>
      <c r="XQ13" s="23"/>
      <c r="XR13" s="23"/>
      <c r="XS13" s="23"/>
      <c r="XT13" s="23"/>
      <c r="XU13" s="23"/>
      <c r="XV13" s="23"/>
      <c r="XW13" s="23"/>
      <c r="XX13" s="23"/>
      <c r="XY13" s="23"/>
      <c r="XZ13" s="23"/>
      <c r="YA13" s="23"/>
      <c r="YB13" s="23"/>
      <c r="YC13" s="23"/>
      <c r="YD13" s="23"/>
      <c r="YE13" s="23"/>
      <c r="YF13" s="23"/>
      <c r="YG13" s="23"/>
      <c r="YH13" s="23"/>
      <c r="YI13" s="23"/>
      <c r="YJ13" s="23"/>
      <c r="YK13" s="23"/>
      <c r="YL13" s="23"/>
      <c r="YM13" s="23"/>
      <c r="YN13" s="23"/>
      <c r="YO13" s="23"/>
      <c r="YP13" s="23"/>
      <c r="YQ13" s="23"/>
      <c r="YR13" s="23"/>
      <c r="YS13" s="23"/>
      <c r="YT13" s="23"/>
      <c r="YU13" s="23"/>
      <c r="YV13" s="23"/>
      <c r="YW13" s="23"/>
      <c r="YX13" s="23"/>
      <c r="YY13" s="23"/>
      <c r="YZ13" s="23"/>
      <c r="ZA13" s="23"/>
      <c r="ZB13" s="23"/>
      <c r="ZC13" s="23"/>
      <c r="ZD13" s="23"/>
      <c r="ZE13" s="23"/>
      <c r="ZF13" s="23"/>
      <c r="ZG13" s="23"/>
      <c r="ZH13" s="23"/>
      <c r="ZI13" s="23"/>
      <c r="ZJ13" s="23"/>
      <c r="ZK13" s="23"/>
      <c r="ZL13" s="23"/>
      <c r="ZM13" s="23"/>
      <c r="ZN13" s="23"/>
      <c r="ZO13" s="23"/>
      <c r="ZP13" s="23"/>
      <c r="ZQ13" s="23"/>
      <c r="ZR13" s="23"/>
      <c r="ZS13" s="23"/>
      <c r="ZT13" s="23"/>
      <c r="ZU13" s="23"/>
      <c r="ZV13" s="23"/>
      <c r="ZW13" s="23"/>
      <c r="ZX13" s="23"/>
      <c r="ZY13" s="23"/>
      <c r="ZZ13" s="23"/>
      <c r="AAA13" s="23"/>
      <c r="AAB13" s="23"/>
      <c r="AAC13" s="23"/>
      <c r="AAD13" s="23"/>
      <c r="AAE13" s="23"/>
      <c r="AAF13" s="23"/>
      <c r="AAG13" s="23"/>
      <c r="AAH13" s="23"/>
      <c r="AAI13" s="23"/>
      <c r="AAJ13" s="23"/>
      <c r="AAK13" s="23"/>
      <c r="AAL13" s="23"/>
      <c r="AAM13" s="23"/>
      <c r="AAN13" s="23"/>
      <c r="AAO13" s="23"/>
      <c r="AAP13" s="23"/>
      <c r="AAQ13" s="23"/>
      <c r="AAR13" s="23"/>
      <c r="AAS13" s="23"/>
      <c r="AAT13" s="23"/>
      <c r="AAU13" s="23"/>
      <c r="AAV13" s="23"/>
      <c r="AAW13" s="23"/>
      <c r="AAX13" s="23"/>
      <c r="AAY13" s="23"/>
      <c r="AAZ13" s="23"/>
      <c r="ABA13" s="23"/>
      <c r="ABB13" s="23"/>
      <c r="ABC13" s="23"/>
      <c r="ABD13" s="23"/>
      <c r="ABE13" s="23"/>
      <c r="ABF13" s="23"/>
      <c r="ABG13" s="23"/>
      <c r="ABH13" s="23"/>
      <c r="ABI13" s="23"/>
      <c r="ABJ13" s="23"/>
      <c r="ABK13" s="23"/>
      <c r="ABL13" s="23"/>
      <c r="ABM13" s="23"/>
      <c r="ABN13" s="23"/>
      <c r="ABO13" s="23"/>
      <c r="ABP13" s="23"/>
      <c r="ABQ13" s="23"/>
      <c r="ABR13" s="23"/>
      <c r="ABS13" s="23"/>
      <c r="ABT13" s="23"/>
      <c r="ABU13" s="23"/>
      <c r="ABV13" s="23"/>
      <c r="ABW13" s="23"/>
      <c r="ABX13" s="23"/>
      <c r="ABY13" s="23"/>
      <c r="ABZ13" s="23"/>
      <c r="ACA13" s="23"/>
      <c r="ACB13" s="23"/>
      <c r="ACC13" s="23"/>
      <c r="ACD13" s="23"/>
      <c r="ACE13" s="23"/>
      <c r="ACF13" s="23"/>
      <c r="ACG13" s="23"/>
      <c r="ACH13" s="23"/>
      <c r="ACI13" s="23"/>
      <c r="ACJ13" s="23"/>
      <c r="ACK13" s="23"/>
      <c r="ACL13" s="23"/>
      <c r="ACM13" s="23"/>
      <c r="ACN13" s="23"/>
      <c r="ACO13" s="23"/>
      <c r="ACP13" s="23"/>
      <c r="ACQ13" s="23"/>
      <c r="ACR13" s="23"/>
      <c r="ACS13" s="23"/>
      <c r="ACT13" s="23"/>
      <c r="ACU13" s="23"/>
      <c r="ACV13" s="23"/>
      <c r="ACW13" s="23"/>
      <c r="ACX13" s="23"/>
      <c r="ACY13" s="23"/>
      <c r="ACZ13" s="23"/>
      <c r="ADA13" s="23"/>
      <c r="ADB13" s="23"/>
      <c r="ADC13" s="23"/>
      <c r="ADD13" s="23"/>
      <c r="ADE13" s="23"/>
      <c r="ADF13" s="23"/>
      <c r="ADG13" s="23"/>
      <c r="ADH13" s="23"/>
      <c r="ADI13" s="23"/>
      <c r="ADJ13" s="23"/>
      <c r="ADK13" s="23"/>
      <c r="ADL13" s="23"/>
      <c r="ADM13" s="23"/>
      <c r="ADN13" s="23"/>
      <c r="ADO13" s="23"/>
      <c r="ADP13" s="23"/>
      <c r="ADQ13" s="23"/>
      <c r="ADR13" s="23"/>
      <c r="ADS13" s="23"/>
      <c r="ADT13" s="23"/>
      <c r="ADU13" s="23"/>
      <c r="ADV13" s="23"/>
      <c r="ADW13" s="23"/>
      <c r="ADX13" s="23"/>
      <c r="ADY13" s="23"/>
      <c r="ADZ13" s="23"/>
      <c r="AEA13" s="23"/>
      <c r="AEB13" s="23"/>
      <c r="AEC13" s="23"/>
      <c r="AED13" s="23"/>
      <c r="AEE13" s="23"/>
      <c r="AEF13" s="23"/>
      <c r="AEG13" s="23"/>
      <c r="AEH13" s="23"/>
      <c r="AEI13" s="23"/>
      <c r="AEJ13" s="23"/>
      <c r="AEK13" s="23"/>
      <c r="AEL13" s="23"/>
      <c r="AEM13" s="23"/>
      <c r="AEN13" s="23"/>
      <c r="AEO13" s="23"/>
      <c r="AEP13" s="23"/>
      <c r="AEQ13" s="23"/>
      <c r="AER13" s="23"/>
      <c r="AES13" s="23"/>
      <c r="AET13" s="23"/>
      <c r="AEU13" s="23"/>
      <c r="AEV13" s="23"/>
      <c r="AEW13" s="23"/>
      <c r="AEX13" s="23"/>
      <c r="AEY13" s="23"/>
      <c r="AEZ13" s="23"/>
      <c r="AFA13" s="23"/>
      <c r="AFB13" s="23"/>
      <c r="AFC13" s="23"/>
      <c r="AFD13" s="23"/>
      <c r="AFE13" s="23"/>
      <c r="AFF13" s="23"/>
      <c r="AFG13" s="23"/>
      <c r="AFH13" s="23"/>
      <c r="AFI13" s="23"/>
      <c r="AFJ13" s="23"/>
      <c r="AFK13" s="23"/>
      <c r="AFL13" s="23"/>
      <c r="AFM13" s="23"/>
      <c r="AFN13" s="23"/>
      <c r="AFO13" s="23"/>
      <c r="AFP13" s="23"/>
      <c r="AFQ13" s="23"/>
      <c r="AFR13" s="23"/>
      <c r="AFS13" s="23"/>
      <c r="AFT13" s="23"/>
      <c r="AFU13" s="23"/>
      <c r="AFV13" s="23"/>
      <c r="AFW13" s="23"/>
      <c r="AFX13" s="23"/>
      <c r="AFY13" s="23"/>
      <c r="AFZ13" s="23"/>
      <c r="AGA13" s="23"/>
      <c r="AGB13" s="23"/>
      <c r="AGC13" s="23"/>
      <c r="AGD13" s="23"/>
      <c r="AGE13" s="23"/>
      <c r="AGF13" s="23"/>
      <c r="AGG13" s="23"/>
      <c r="AGH13" s="23"/>
      <c r="AGI13" s="23"/>
      <c r="AGJ13" s="23"/>
      <c r="AGK13" s="23"/>
      <c r="AGL13" s="23"/>
      <c r="AGM13" s="23"/>
      <c r="AGN13" s="23"/>
      <c r="AGO13" s="23"/>
      <c r="AGP13" s="23"/>
      <c r="AGQ13" s="23"/>
      <c r="AGR13" s="23"/>
      <c r="AGS13" s="23"/>
      <c r="AGT13" s="23"/>
      <c r="AGU13" s="23"/>
      <c r="AGV13" s="23"/>
      <c r="AGW13" s="23"/>
      <c r="AGX13" s="23"/>
      <c r="AGY13" s="23"/>
      <c r="AGZ13" s="23"/>
      <c r="AHA13" s="23"/>
      <c r="AHB13" s="23"/>
      <c r="AHC13" s="23"/>
      <c r="AHD13" s="23"/>
      <c r="AHE13" s="23"/>
      <c r="AHF13" s="23"/>
      <c r="AHG13" s="23"/>
      <c r="AHH13" s="23"/>
      <c r="AHI13" s="23"/>
      <c r="AHJ13" s="23"/>
      <c r="AHK13" s="23"/>
      <c r="AHL13" s="23"/>
      <c r="AHM13" s="23"/>
      <c r="AHN13" s="23"/>
      <c r="AHO13" s="23"/>
      <c r="AHP13" s="23"/>
      <c r="AHQ13" s="23"/>
      <c r="AHR13" s="23"/>
      <c r="AHS13" s="23"/>
      <c r="AHT13" s="23"/>
      <c r="AHU13" s="23"/>
      <c r="AHV13" s="23"/>
      <c r="AHW13" s="23"/>
      <c r="AHX13" s="23"/>
      <c r="AHY13" s="23"/>
      <c r="AHZ13" s="23"/>
      <c r="AIA13" s="23"/>
      <c r="AIB13" s="23"/>
      <c r="AIC13" s="23"/>
      <c r="AID13" s="23"/>
      <c r="AIE13" s="23"/>
      <c r="AIF13" s="23"/>
      <c r="AIG13" s="23"/>
      <c r="AIH13" s="23"/>
      <c r="AII13" s="23"/>
      <c r="AIJ13" s="23"/>
      <c r="AIK13" s="23"/>
      <c r="AIL13" s="23"/>
      <c r="AIM13" s="23"/>
      <c r="AIN13" s="23"/>
      <c r="AIO13" s="23"/>
      <c r="AIP13" s="23"/>
      <c r="AIQ13" s="23"/>
      <c r="AIR13" s="23"/>
      <c r="AIS13" s="23"/>
      <c r="AIT13" s="23"/>
      <c r="AIU13" s="23"/>
      <c r="AIV13" s="23"/>
      <c r="AIW13" s="23"/>
      <c r="AIX13" s="23"/>
      <c r="AIY13" s="23"/>
      <c r="AIZ13" s="23"/>
      <c r="AJA13" s="23"/>
      <c r="AJB13" s="23"/>
      <c r="AJC13" s="23"/>
      <c r="AJD13" s="23"/>
      <c r="AJE13" s="23"/>
      <c r="AJF13" s="23"/>
      <c r="AJG13" s="23"/>
      <c r="AJH13" s="23"/>
      <c r="AJI13" s="23"/>
      <c r="AJJ13" s="23"/>
      <c r="AJK13" s="23"/>
      <c r="AJL13" s="23"/>
      <c r="AJM13" s="23"/>
      <c r="AJN13" s="23"/>
      <c r="AJO13" s="23"/>
      <c r="AJP13" s="23"/>
      <c r="AJQ13" s="23"/>
      <c r="AJR13" s="23"/>
      <c r="AJS13" s="23"/>
      <c r="AJT13" s="23"/>
      <c r="AJU13" s="23"/>
      <c r="AJV13" s="23"/>
      <c r="AJW13" s="23"/>
      <c r="AJX13" s="23"/>
      <c r="AJY13" s="23"/>
      <c r="AJZ13" s="23"/>
      <c r="AKA13" s="23"/>
      <c r="AKB13" s="23"/>
      <c r="AKC13" s="23"/>
      <c r="AKD13" s="23"/>
      <c r="AKE13" s="23"/>
      <c r="AKF13" s="23"/>
      <c r="AKG13" s="23"/>
      <c r="AKH13" s="23"/>
      <c r="AKI13" s="23"/>
      <c r="AKJ13" s="23"/>
      <c r="AKK13" s="23"/>
      <c r="AKL13" s="23"/>
      <c r="AKM13" s="23"/>
      <c r="AKN13" s="23"/>
      <c r="AKO13" s="23"/>
      <c r="AKP13" s="23"/>
      <c r="AKQ13" s="23"/>
      <c r="AKR13" s="23"/>
      <c r="AKS13" s="23"/>
      <c r="AKT13" s="23"/>
      <c r="AKU13" s="23"/>
      <c r="AKV13" s="23"/>
      <c r="AKW13" s="23"/>
      <c r="AKX13" s="23"/>
      <c r="AKY13" s="23"/>
      <c r="AKZ13" s="23"/>
      <c r="ALA13" s="23"/>
      <c r="ALB13" s="23"/>
      <c r="ALC13" s="23"/>
      <c r="ALD13" s="23"/>
      <c r="ALE13" s="23"/>
      <c r="ALF13" s="23"/>
      <c r="ALG13" s="23"/>
      <c r="ALH13" s="23"/>
      <c r="ALI13" s="23"/>
      <c r="ALJ13" s="23"/>
      <c r="ALK13" s="23"/>
      <c r="ALL13" s="23"/>
      <c r="ALM13" s="23"/>
      <c r="ALN13" s="23"/>
      <c r="ALO13" s="23"/>
      <c r="ALP13" s="23"/>
      <c r="ALQ13" s="23"/>
      <c r="ALR13" s="23"/>
      <c r="ALS13" s="23"/>
      <c r="ALT13" s="23"/>
      <c r="ALU13" s="23"/>
      <c r="ALV13" s="23"/>
      <c r="ALW13" s="23"/>
      <c r="ALX13" s="23"/>
      <c r="ALY13" s="23"/>
      <c r="ALZ13" s="23"/>
      <c r="AMA13" s="23"/>
      <c r="AMB13" s="23"/>
      <c r="AMC13" s="23"/>
      <c r="AMD13" s="23"/>
    </row>
    <row r="14" customFormat="false" ht="15" hidden="false" customHeight="true" outlineLevel="0" collapsed="false">
      <c r="A14" s="23"/>
      <c r="B14" s="70" t="s">
        <v>96</v>
      </c>
      <c r="C14" s="284" t="n">
        <f aca="false">VLOOKUP(B14,Unidades!$D$5:$G$24,4,)</f>
        <v>0.05</v>
      </c>
      <c r="D14" s="285" t="n">
        <f aca="false">'Base Blumenau'!AD16*12+'Base Blumenau'!AE16*4+'Base Blumenau'!AF16*2+'Base Blumenau'!AG16</f>
        <v>9186.39060363322</v>
      </c>
      <c r="E14" s="285" t="n">
        <f aca="false">'Base Blumenau'!AK16*12+'Base Blumenau'!AL16*4+'Base Blumenau'!AM16*2+'Base Blumenau'!AN16</f>
        <v>12072.7545312948</v>
      </c>
      <c r="G14" s="282" t="s">
        <v>98</v>
      </c>
      <c r="H14" s="288" t="n">
        <f aca="false">SUM(H5:H12)</f>
        <v>278070.15310697</v>
      </c>
      <c r="I14" s="288" t="n">
        <f aca="false">SUM(I5:I12)</f>
        <v>356019.082848</v>
      </c>
      <c r="J14" s="288" t="n">
        <f aca="false">SUM(J5:J12)</f>
        <v>1112280.61242788</v>
      </c>
      <c r="K14" s="288" t="n">
        <f aca="false">SUM(K5:K12)</f>
        <v>1424076.331392</v>
      </c>
      <c r="L14" s="289" t="n">
        <f aca="false">SUM(L5:L12)</f>
        <v>1</v>
      </c>
      <c r="M14" s="289" t="n">
        <f aca="false">SUM(M5:M12)</f>
        <v>1</v>
      </c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  <c r="KH14" s="23"/>
      <c r="KI14" s="23"/>
      <c r="KJ14" s="23"/>
      <c r="KK14" s="23"/>
      <c r="KL14" s="23"/>
      <c r="KM14" s="23"/>
      <c r="KN14" s="23"/>
      <c r="KO14" s="23"/>
      <c r="KP14" s="23"/>
      <c r="KQ14" s="23"/>
      <c r="KR14" s="23"/>
      <c r="KS14" s="23"/>
      <c r="KT14" s="23"/>
      <c r="KU14" s="23"/>
      <c r="KV14" s="23"/>
      <c r="KW14" s="23"/>
      <c r="KX14" s="23"/>
      <c r="KY14" s="23"/>
      <c r="KZ14" s="23"/>
      <c r="LA14" s="23"/>
      <c r="LB14" s="23"/>
      <c r="LC14" s="23"/>
      <c r="LD14" s="23"/>
      <c r="LE14" s="23"/>
      <c r="LF14" s="23"/>
      <c r="LG14" s="23"/>
      <c r="LH14" s="23"/>
      <c r="LI14" s="23"/>
      <c r="LJ14" s="23"/>
      <c r="LK14" s="23"/>
      <c r="LL14" s="23"/>
      <c r="LM14" s="23"/>
      <c r="LN14" s="23"/>
      <c r="LO14" s="23"/>
      <c r="LP14" s="23"/>
      <c r="LQ14" s="23"/>
      <c r="LR14" s="23"/>
      <c r="LS14" s="23"/>
      <c r="LT14" s="23"/>
      <c r="LU14" s="23"/>
      <c r="LV14" s="23"/>
      <c r="LW14" s="23"/>
      <c r="LX14" s="23"/>
      <c r="LY14" s="23"/>
      <c r="LZ14" s="23"/>
      <c r="MA14" s="23"/>
      <c r="MB14" s="23"/>
      <c r="MC14" s="23"/>
      <c r="MD14" s="23"/>
      <c r="ME14" s="23"/>
      <c r="MF14" s="23"/>
      <c r="MG14" s="23"/>
      <c r="MH14" s="23"/>
      <c r="MI14" s="23"/>
      <c r="MJ14" s="23"/>
      <c r="MK14" s="23"/>
      <c r="ML14" s="23"/>
      <c r="MM14" s="23"/>
      <c r="MN14" s="23"/>
      <c r="MO14" s="23"/>
      <c r="MP14" s="23"/>
      <c r="MQ14" s="23"/>
      <c r="MR14" s="23"/>
      <c r="MS14" s="23"/>
      <c r="MT14" s="23"/>
      <c r="MU14" s="23"/>
      <c r="MV14" s="23"/>
      <c r="MW14" s="23"/>
      <c r="MX14" s="23"/>
      <c r="MY14" s="23"/>
      <c r="MZ14" s="23"/>
      <c r="NA14" s="23"/>
      <c r="NB14" s="23"/>
      <c r="NC14" s="23"/>
      <c r="ND14" s="23"/>
      <c r="NE14" s="23"/>
      <c r="NF14" s="23"/>
      <c r="NG14" s="23"/>
      <c r="NH14" s="23"/>
      <c r="NI14" s="23"/>
      <c r="NJ14" s="23"/>
      <c r="NK14" s="23"/>
      <c r="NL14" s="23"/>
      <c r="NM14" s="23"/>
      <c r="NN14" s="23"/>
      <c r="NO14" s="23"/>
      <c r="NP14" s="23"/>
      <c r="NQ14" s="23"/>
      <c r="NR14" s="23"/>
      <c r="NS14" s="23"/>
      <c r="NT14" s="23"/>
      <c r="NU14" s="23"/>
      <c r="NV14" s="23"/>
      <c r="NW14" s="23"/>
      <c r="NX14" s="23"/>
      <c r="NY14" s="23"/>
      <c r="NZ14" s="23"/>
      <c r="OA14" s="23"/>
      <c r="OB14" s="23"/>
      <c r="OC14" s="23"/>
      <c r="OD14" s="23"/>
      <c r="OE14" s="23"/>
      <c r="OF14" s="23"/>
      <c r="OG14" s="23"/>
      <c r="OH14" s="23"/>
      <c r="OI14" s="23"/>
      <c r="OJ14" s="23"/>
      <c r="OK14" s="23"/>
      <c r="OL14" s="23"/>
      <c r="OM14" s="23"/>
      <c r="ON14" s="23"/>
      <c r="OO14" s="23"/>
      <c r="OP14" s="23"/>
      <c r="OQ14" s="23"/>
      <c r="OR14" s="23"/>
      <c r="OS14" s="23"/>
      <c r="OT14" s="23"/>
      <c r="OU14" s="23"/>
      <c r="OV14" s="23"/>
      <c r="OW14" s="23"/>
      <c r="OX14" s="23"/>
      <c r="OY14" s="23"/>
      <c r="OZ14" s="23"/>
      <c r="PA14" s="23"/>
      <c r="PB14" s="23"/>
      <c r="PC14" s="23"/>
      <c r="PD14" s="23"/>
      <c r="PE14" s="23"/>
      <c r="PF14" s="23"/>
      <c r="PG14" s="23"/>
      <c r="PH14" s="23"/>
      <c r="PI14" s="23"/>
      <c r="PJ14" s="23"/>
      <c r="PK14" s="23"/>
      <c r="PL14" s="23"/>
      <c r="PM14" s="23"/>
      <c r="PN14" s="23"/>
      <c r="PO14" s="23"/>
      <c r="PP14" s="23"/>
      <c r="PQ14" s="23"/>
      <c r="PR14" s="23"/>
      <c r="PS14" s="23"/>
      <c r="PT14" s="23"/>
      <c r="PU14" s="23"/>
      <c r="PV14" s="23"/>
      <c r="PW14" s="23"/>
      <c r="PX14" s="23"/>
      <c r="PY14" s="23"/>
      <c r="PZ14" s="23"/>
      <c r="QA14" s="23"/>
      <c r="QB14" s="23"/>
      <c r="QC14" s="23"/>
      <c r="QD14" s="23"/>
      <c r="QE14" s="23"/>
      <c r="QF14" s="23"/>
      <c r="QG14" s="23"/>
      <c r="QH14" s="23"/>
      <c r="QI14" s="23"/>
      <c r="QJ14" s="23"/>
      <c r="QK14" s="23"/>
      <c r="QL14" s="23"/>
      <c r="QM14" s="23"/>
      <c r="QN14" s="23"/>
      <c r="QO14" s="23"/>
      <c r="QP14" s="23"/>
      <c r="QQ14" s="23"/>
      <c r="QR14" s="23"/>
      <c r="QS14" s="23"/>
      <c r="QT14" s="23"/>
      <c r="QU14" s="23"/>
      <c r="QV14" s="23"/>
      <c r="QW14" s="23"/>
      <c r="QX14" s="23"/>
      <c r="QY14" s="23"/>
      <c r="QZ14" s="23"/>
      <c r="RA14" s="23"/>
      <c r="RB14" s="23"/>
      <c r="RC14" s="23"/>
      <c r="RD14" s="23"/>
      <c r="RE14" s="23"/>
      <c r="RF14" s="23"/>
      <c r="RG14" s="23"/>
      <c r="RH14" s="23"/>
      <c r="RI14" s="23"/>
      <c r="RJ14" s="23"/>
      <c r="RK14" s="23"/>
      <c r="RL14" s="23"/>
      <c r="RM14" s="23"/>
      <c r="RN14" s="23"/>
      <c r="RO14" s="23"/>
      <c r="RP14" s="23"/>
      <c r="RQ14" s="23"/>
      <c r="RR14" s="23"/>
      <c r="RS14" s="23"/>
      <c r="RT14" s="23"/>
      <c r="RU14" s="23"/>
      <c r="RV14" s="23"/>
      <c r="RW14" s="23"/>
      <c r="RX14" s="23"/>
      <c r="RY14" s="23"/>
      <c r="RZ14" s="23"/>
      <c r="SA14" s="23"/>
      <c r="SB14" s="23"/>
      <c r="SC14" s="23"/>
      <c r="SD14" s="23"/>
      <c r="SE14" s="23"/>
      <c r="SF14" s="23"/>
      <c r="SG14" s="23"/>
      <c r="SH14" s="23"/>
      <c r="SI14" s="23"/>
      <c r="SJ14" s="23"/>
      <c r="SK14" s="23"/>
      <c r="SL14" s="23"/>
      <c r="SM14" s="23"/>
      <c r="SN14" s="23"/>
      <c r="SO14" s="23"/>
      <c r="SP14" s="23"/>
      <c r="SQ14" s="23"/>
      <c r="SR14" s="23"/>
      <c r="SS14" s="23"/>
      <c r="ST14" s="23"/>
      <c r="SU14" s="23"/>
      <c r="SV14" s="23"/>
      <c r="SW14" s="23"/>
      <c r="SX14" s="23"/>
      <c r="SY14" s="23"/>
      <c r="SZ14" s="23"/>
      <c r="TA14" s="23"/>
      <c r="TB14" s="23"/>
      <c r="TC14" s="23"/>
      <c r="TD14" s="23"/>
      <c r="TE14" s="23"/>
      <c r="TF14" s="23"/>
      <c r="TG14" s="23"/>
      <c r="TH14" s="23"/>
      <c r="TI14" s="23"/>
      <c r="TJ14" s="23"/>
      <c r="TK14" s="23"/>
      <c r="TL14" s="23"/>
      <c r="TM14" s="23"/>
      <c r="TN14" s="23"/>
      <c r="TO14" s="23"/>
      <c r="TP14" s="23"/>
      <c r="TQ14" s="23"/>
      <c r="TR14" s="23"/>
      <c r="TS14" s="23"/>
      <c r="TT14" s="23"/>
      <c r="TU14" s="23"/>
      <c r="TV14" s="23"/>
      <c r="TW14" s="23"/>
      <c r="TX14" s="23"/>
      <c r="TY14" s="23"/>
      <c r="TZ14" s="23"/>
      <c r="UA14" s="23"/>
      <c r="UB14" s="23"/>
      <c r="UC14" s="23"/>
      <c r="UD14" s="23"/>
      <c r="UE14" s="23"/>
      <c r="UF14" s="23"/>
      <c r="UG14" s="23"/>
      <c r="UH14" s="23"/>
      <c r="UI14" s="23"/>
      <c r="UJ14" s="23"/>
      <c r="UK14" s="23"/>
      <c r="UL14" s="23"/>
      <c r="UM14" s="23"/>
      <c r="UN14" s="23"/>
      <c r="UO14" s="23"/>
      <c r="UP14" s="23"/>
      <c r="UQ14" s="23"/>
      <c r="UR14" s="23"/>
      <c r="US14" s="23"/>
      <c r="UT14" s="23"/>
      <c r="UU14" s="23"/>
      <c r="UV14" s="23"/>
      <c r="UW14" s="23"/>
      <c r="UX14" s="23"/>
      <c r="UY14" s="23"/>
      <c r="UZ14" s="23"/>
      <c r="VA14" s="23"/>
      <c r="VB14" s="23"/>
      <c r="VC14" s="23"/>
      <c r="VD14" s="23"/>
      <c r="VE14" s="23"/>
      <c r="VF14" s="23"/>
      <c r="VG14" s="23"/>
      <c r="VH14" s="23"/>
      <c r="VI14" s="23"/>
      <c r="VJ14" s="23"/>
      <c r="VK14" s="23"/>
      <c r="VL14" s="23"/>
      <c r="VM14" s="23"/>
      <c r="VN14" s="23"/>
      <c r="VO14" s="23"/>
      <c r="VP14" s="23"/>
      <c r="VQ14" s="23"/>
      <c r="VR14" s="23"/>
      <c r="VS14" s="23"/>
      <c r="VT14" s="23"/>
      <c r="VU14" s="23"/>
      <c r="VV14" s="23"/>
      <c r="VW14" s="23"/>
      <c r="VX14" s="23"/>
      <c r="VY14" s="23"/>
      <c r="VZ14" s="23"/>
      <c r="WA14" s="23"/>
      <c r="WB14" s="23"/>
      <c r="WC14" s="23"/>
      <c r="WD14" s="23"/>
      <c r="WE14" s="23"/>
      <c r="WF14" s="23"/>
      <c r="WG14" s="23"/>
      <c r="WH14" s="23"/>
      <c r="WI14" s="23"/>
      <c r="WJ14" s="23"/>
      <c r="WK14" s="23"/>
      <c r="WL14" s="23"/>
      <c r="WM14" s="23"/>
      <c r="WN14" s="23"/>
      <c r="WO14" s="23"/>
      <c r="WP14" s="23"/>
      <c r="WQ14" s="23"/>
      <c r="WR14" s="23"/>
      <c r="WS14" s="23"/>
      <c r="WT14" s="23"/>
      <c r="WU14" s="23"/>
      <c r="WV14" s="23"/>
      <c r="WW14" s="23"/>
      <c r="WX14" s="23"/>
      <c r="WY14" s="23"/>
      <c r="WZ14" s="23"/>
      <c r="XA14" s="23"/>
      <c r="XB14" s="23"/>
      <c r="XC14" s="23"/>
      <c r="XD14" s="23"/>
      <c r="XE14" s="23"/>
      <c r="XF14" s="23"/>
      <c r="XG14" s="23"/>
      <c r="XH14" s="23"/>
      <c r="XI14" s="23"/>
      <c r="XJ14" s="23"/>
      <c r="XK14" s="23"/>
      <c r="XL14" s="23"/>
      <c r="XM14" s="23"/>
      <c r="XN14" s="23"/>
      <c r="XO14" s="23"/>
      <c r="XP14" s="23"/>
      <c r="XQ14" s="23"/>
      <c r="XR14" s="23"/>
      <c r="XS14" s="23"/>
      <c r="XT14" s="23"/>
      <c r="XU14" s="23"/>
      <c r="XV14" s="23"/>
      <c r="XW14" s="23"/>
      <c r="XX14" s="23"/>
      <c r="XY14" s="23"/>
      <c r="XZ14" s="23"/>
      <c r="YA14" s="23"/>
      <c r="YB14" s="23"/>
      <c r="YC14" s="23"/>
      <c r="YD14" s="23"/>
      <c r="YE14" s="23"/>
      <c r="YF14" s="23"/>
      <c r="YG14" s="23"/>
      <c r="YH14" s="23"/>
      <c r="YI14" s="23"/>
      <c r="YJ14" s="23"/>
      <c r="YK14" s="23"/>
      <c r="YL14" s="23"/>
      <c r="YM14" s="23"/>
      <c r="YN14" s="23"/>
      <c r="YO14" s="23"/>
      <c r="YP14" s="23"/>
      <c r="YQ14" s="23"/>
      <c r="YR14" s="23"/>
      <c r="YS14" s="23"/>
      <c r="YT14" s="23"/>
      <c r="YU14" s="23"/>
      <c r="YV14" s="23"/>
      <c r="YW14" s="23"/>
      <c r="YX14" s="23"/>
      <c r="YY14" s="23"/>
      <c r="YZ14" s="23"/>
      <c r="ZA14" s="23"/>
      <c r="ZB14" s="23"/>
      <c r="ZC14" s="23"/>
      <c r="ZD14" s="23"/>
      <c r="ZE14" s="23"/>
      <c r="ZF14" s="23"/>
      <c r="ZG14" s="23"/>
      <c r="ZH14" s="23"/>
      <c r="ZI14" s="23"/>
      <c r="ZJ14" s="23"/>
      <c r="ZK14" s="23"/>
      <c r="ZL14" s="23"/>
      <c r="ZM14" s="23"/>
      <c r="ZN14" s="23"/>
      <c r="ZO14" s="23"/>
      <c r="ZP14" s="23"/>
      <c r="ZQ14" s="23"/>
      <c r="ZR14" s="23"/>
      <c r="ZS14" s="23"/>
      <c r="ZT14" s="23"/>
      <c r="ZU14" s="23"/>
      <c r="ZV14" s="23"/>
      <c r="ZW14" s="23"/>
      <c r="ZX14" s="23"/>
      <c r="ZY14" s="23"/>
      <c r="ZZ14" s="23"/>
      <c r="AAA14" s="23"/>
      <c r="AAB14" s="23"/>
      <c r="AAC14" s="23"/>
      <c r="AAD14" s="23"/>
      <c r="AAE14" s="23"/>
      <c r="AAF14" s="23"/>
      <c r="AAG14" s="23"/>
      <c r="AAH14" s="23"/>
      <c r="AAI14" s="23"/>
      <c r="AAJ14" s="23"/>
      <c r="AAK14" s="23"/>
      <c r="AAL14" s="23"/>
      <c r="AAM14" s="23"/>
      <c r="AAN14" s="23"/>
      <c r="AAO14" s="23"/>
      <c r="AAP14" s="23"/>
      <c r="AAQ14" s="23"/>
      <c r="AAR14" s="23"/>
      <c r="AAS14" s="23"/>
      <c r="AAT14" s="23"/>
      <c r="AAU14" s="23"/>
      <c r="AAV14" s="23"/>
      <c r="AAW14" s="23"/>
      <c r="AAX14" s="23"/>
      <c r="AAY14" s="23"/>
      <c r="AAZ14" s="23"/>
      <c r="ABA14" s="23"/>
      <c r="ABB14" s="23"/>
      <c r="ABC14" s="23"/>
      <c r="ABD14" s="23"/>
      <c r="ABE14" s="23"/>
      <c r="ABF14" s="23"/>
      <c r="ABG14" s="23"/>
      <c r="ABH14" s="23"/>
      <c r="ABI14" s="23"/>
      <c r="ABJ14" s="23"/>
      <c r="ABK14" s="23"/>
      <c r="ABL14" s="23"/>
      <c r="ABM14" s="23"/>
      <c r="ABN14" s="23"/>
      <c r="ABO14" s="23"/>
      <c r="ABP14" s="23"/>
      <c r="ABQ14" s="23"/>
      <c r="ABR14" s="23"/>
      <c r="ABS14" s="23"/>
      <c r="ABT14" s="23"/>
      <c r="ABU14" s="23"/>
      <c r="ABV14" s="23"/>
      <c r="ABW14" s="23"/>
      <c r="ABX14" s="23"/>
      <c r="ABY14" s="23"/>
      <c r="ABZ14" s="23"/>
      <c r="ACA14" s="23"/>
      <c r="ACB14" s="23"/>
      <c r="ACC14" s="23"/>
      <c r="ACD14" s="23"/>
      <c r="ACE14" s="23"/>
      <c r="ACF14" s="23"/>
      <c r="ACG14" s="23"/>
      <c r="ACH14" s="23"/>
      <c r="ACI14" s="23"/>
      <c r="ACJ14" s="23"/>
      <c r="ACK14" s="23"/>
      <c r="ACL14" s="23"/>
      <c r="ACM14" s="23"/>
      <c r="ACN14" s="23"/>
      <c r="ACO14" s="23"/>
      <c r="ACP14" s="23"/>
      <c r="ACQ14" s="23"/>
      <c r="ACR14" s="23"/>
      <c r="ACS14" s="23"/>
      <c r="ACT14" s="23"/>
      <c r="ACU14" s="23"/>
      <c r="ACV14" s="23"/>
      <c r="ACW14" s="23"/>
      <c r="ACX14" s="23"/>
      <c r="ACY14" s="23"/>
      <c r="ACZ14" s="23"/>
      <c r="ADA14" s="23"/>
      <c r="ADB14" s="23"/>
      <c r="ADC14" s="23"/>
      <c r="ADD14" s="23"/>
      <c r="ADE14" s="23"/>
      <c r="ADF14" s="23"/>
      <c r="ADG14" s="23"/>
      <c r="ADH14" s="23"/>
      <c r="ADI14" s="23"/>
      <c r="ADJ14" s="23"/>
      <c r="ADK14" s="23"/>
      <c r="ADL14" s="23"/>
      <c r="ADM14" s="23"/>
      <c r="ADN14" s="23"/>
      <c r="ADO14" s="23"/>
      <c r="ADP14" s="23"/>
      <c r="ADQ14" s="23"/>
      <c r="ADR14" s="23"/>
      <c r="ADS14" s="23"/>
      <c r="ADT14" s="23"/>
      <c r="ADU14" s="23"/>
      <c r="ADV14" s="23"/>
      <c r="ADW14" s="23"/>
      <c r="ADX14" s="23"/>
      <c r="ADY14" s="23"/>
      <c r="ADZ14" s="23"/>
      <c r="AEA14" s="23"/>
      <c r="AEB14" s="23"/>
      <c r="AEC14" s="23"/>
      <c r="AED14" s="23"/>
      <c r="AEE14" s="23"/>
      <c r="AEF14" s="23"/>
      <c r="AEG14" s="23"/>
      <c r="AEH14" s="23"/>
      <c r="AEI14" s="23"/>
      <c r="AEJ14" s="23"/>
      <c r="AEK14" s="23"/>
      <c r="AEL14" s="23"/>
      <c r="AEM14" s="23"/>
      <c r="AEN14" s="23"/>
      <c r="AEO14" s="23"/>
      <c r="AEP14" s="23"/>
      <c r="AEQ14" s="23"/>
      <c r="AER14" s="23"/>
      <c r="AES14" s="23"/>
      <c r="AET14" s="23"/>
      <c r="AEU14" s="23"/>
      <c r="AEV14" s="23"/>
      <c r="AEW14" s="23"/>
      <c r="AEX14" s="23"/>
      <c r="AEY14" s="23"/>
      <c r="AEZ14" s="23"/>
      <c r="AFA14" s="23"/>
      <c r="AFB14" s="23"/>
      <c r="AFC14" s="23"/>
      <c r="AFD14" s="23"/>
      <c r="AFE14" s="23"/>
      <c r="AFF14" s="23"/>
      <c r="AFG14" s="23"/>
      <c r="AFH14" s="23"/>
      <c r="AFI14" s="23"/>
      <c r="AFJ14" s="23"/>
      <c r="AFK14" s="23"/>
      <c r="AFL14" s="23"/>
      <c r="AFM14" s="23"/>
      <c r="AFN14" s="23"/>
      <c r="AFO14" s="23"/>
      <c r="AFP14" s="23"/>
      <c r="AFQ14" s="23"/>
      <c r="AFR14" s="23"/>
      <c r="AFS14" s="23"/>
      <c r="AFT14" s="23"/>
      <c r="AFU14" s="23"/>
      <c r="AFV14" s="23"/>
      <c r="AFW14" s="23"/>
      <c r="AFX14" s="23"/>
      <c r="AFY14" s="23"/>
      <c r="AFZ14" s="23"/>
      <c r="AGA14" s="23"/>
      <c r="AGB14" s="23"/>
      <c r="AGC14" s="23"/>
      <c r="AGD14" s="23"/>
      <c r="AGE14" s="23"/>
      <c r="AGF14" s="23"/>
      <c r="AGG14" s="23"/>
      <c r="AGH14" s="23"/>
      <c r="AGI14" s="23"/>
      <c r="AGJ14" s="23"/>
      <c r="AGK14" s="23"/>
      <c r="AGL14" s="23"/>
      <c r="AGM14" s="23"/>
      <c r="AGN14" s="23"/>
      <c r="AGO14" s="23"/>
      <c r="AGP14" s="23"/>
      <c r="AGQ14" s="23"/>
      <c r="AGR14" s="23"/>
      <c r="AGS14" s="23"/>
      <c r="AGT14" s="23"/>
      <c r="AGU14" s="23"/>
      <c r="AGV14" s="23"/>
      <c r="AGW14" s="23"/>
      <c r="AGX14" s="23"/>
      <c r="AGY14" s="23"/>
      <c r="AGZ14" s="23"/>
      <c r="AHA14" s="23"/>
      <c r="AHB14" s="23"/>
      <c r="AHC14" s="23"/>
      <c r="AHD14" s="23"/>
      <c r="AHE14" s="23"/>
      <c r="AHF14" s="23"/>
      <c r="AHG14" s="23"/>
      <c r="AHH14" s="23"/>
      <c r="AHI14" s="23"/>
      <c r="AHJ14" s="23"/>
      <c r="AHK14" s="23"/>
      <c r="AHL14" s="23"/>
      <c r="AHM14" s="23"/>
      <c r="AHN14" s="23"/>
      <c r="AHO14" s="23"/>
      <c r="AHP14" s="23"/>
      <c r="AHQ14" s="23"/>
      <c r="AHR14" s="23"/>
      <c r="AHS14" s="23"/>
      <c r="AHT14" s="23"/>
      <c r="AHU14" s="23"/>
      <c r="AHV14" s="23"/>
      <c r="AHW14" s="23"/>
      <c r="AHX14" s="23"/>
      <c r="AHY14" s="23"/>
      <c r="AHZ14" s="23"/>
      <c r="AIA14" s="23"/>
      <c r="AIB14" s="23"/>
      <c r="AIC14" s="23"/>
      <c r="AID14" s="23"/>
      <c r="AIE14" s="23"/>
      <c r="AIF14" s="23"/>
      <c r="AIG14" s="23"/>
      <c r="AIH14" s="23"/>
      <c r="AII14" s="23"/>
      <c r="AIJ14" s="23"/>
      <c r="AIK14" s="23"/>
      <c r="AIL14" s="23"/>
      <c r="AIM14" s="23"/>
      <c r="AIN14" s="23"/>
      <c r="AIO14" s="23"/>
      <c r="AIP14" s="23"/>
      <c r="AIQ14" s="23"/>
      <c r="AIR14" s="23"/>
      <c r="AIS14" s="23"/>
      <c r="AIT14" s="23"/>
      <c r="AIU14" s="23"/>
      <c r="AIV14" s="23"/>
      <c r="AIW14" s="23"/>
      <c r="AIX14" s="23"/>
      <c r="AIY14" s="23"/>
      <c r="AIZ14" s="23"/>
      <c r="AJA14" s="23"/>
      <c r="AJB14" s="23"/>
      <c r="AJC14" s="23"/>
      <c r="AJD14" s="23"/>
      <c r="AJE14" s="23"/>
      <c r="AJF14" s="23"/>
      <c r="AJG14" s="23"/>
      <c r="AJH14" s="23"/>
      <c r="AJI14" s="23"/>
      <c r="AJJ14" s="23"/>
      <c r="AJK14" s="23"/>
      <c r="AJL14" s="23"/>
      <c r="AJM14" s="23"/>
      <c r="AJN14" s="23"/>
      <c r="AJO14" s="23"/>
      <c r="AJP14" s="23"/>
      <c r="AJQ14" s="23"/>
      <c r="AJR14" s="23"/>
      <c r="AJS14" s="23"/>
      <c r="AJT14" s="23"/>
      <c r="AJU14" s="23"/>
      <c r="AJV14" s="23"/>
      <c r="AJW14" s="23"/>
      <c r="AJX14" s="23"/>
      <c r="AJY14" s="23"/>
      <c r="AJZ14" s="23"/>
      <c r="AKA14" s="23"/>
      <c r="AKB14" s="23"/>
      <c r="AKC14" s="23"/>
      <c r="AKD14" s="23"/>
      <c r="AKE14" s="23"/>
      <c r="AKF14" s="23"/>
      <c r="AKG14" s="23"/>
      <c r="AKH14" s="23"/>
      <c r="AKI14" s="23"/>
      <c r="AKJ14" s="23"/>
      <c r="AKK14" s="23"/>
      <c r="AKL14" s="23"/>
      <c r="AKM14" s="23"/>
      <c r="AKN14" s="23"/>
      <c r="AKO14" s="23"/>
      <c r="AKP14" s="23"/>
      <c r="AKQ14" s="23"/>
      <c r="AKR14" s="23"/>
      <c r="AKS14" s="23"/>
      <c r="AKT14" s="23"/>
      <c r="AKU14" s="23"/>
      <c r="AKV14" s="23"/>
      <c r="AKW14" s="23"/>
      <c r="AKX14" s="23"/>
      <c r="AKY14" s="23"/>
      <c r="AKZ14" s="23"/>
      <c r="ALA14" s="23"/>
      <c r="ALB14" s="23"/>
      <c r="ALC14" s="23"/>
      <c r="ALD14" s="23"/>
      <c r="ALE14" s="23"/>
      <c r="ALF14" s="23"/>
      <c r="ALG14" s="23"/>
      <c r="ALH14" s="23"/>
      <c r="ALI14" s="23"/>
      <c r="ALJ14" s="23"/>
      <c r="ALK14" s="23"/>
      <c r="ALL14" s="23"/>
      <c r="ALM14" s="23"/>
      <c r="ALN14" s="23"/>
      <c r="ALO14" s="23"/>
      <c r="ALP14" s="23"/>
      <c r="ALQ14" s="23"/>
      <c r="ALR14" s="23"/>
      <c r="ALS14" s="23"/>
      <c r="ALT14" s="23"/>
      <c r="ALU14" s="23"/>
      <c r="ALV14" s="23"/>
      <c r="ALW14" s="23"/>
      <c r="ALX14" s="23"/>
      <c r="ALY14" s="23"/>
      <c r="ALZ14" s="23"/>
      <c r="AMA14" s="23"/>
      <c r="AMB14" s="23"/>
      <c r="AMC14" s="23"/>
      <c r="AMD14" s="23"/>
    </row>
    <row r="15" customFormat="false" ht="15" hidden="false" customHeight="true" outlineLevel="0" collapsed="false">
      <c r="A15" s="23"/>
      <c r="B15" s="70" t="s">
        <v>97</v>
      </c>
      <c r="C15" s="284" t="n">
        <f aca="false">VLOOKUP(B15,Unidades!$D$5:$G$24,4,)</f>
        <v>0.05</v>
      </c>
      <c r="D15" s="285" t="n">
        <f aca="false">'Base Blumenau'!AD17*12+'Base Blumenau'!AE17*4+'Base Blumenau'!AF17*2+'Base Blumenau'!AG17</f>
        <v>14030.2627108699</v>
      </c>
      <c r="E15" s="285" t="n">
        <f aca="false">'Base Blumenau'!AK17*12+'Base Blumenau'!AL17*4+'Base Blumenau'!AM17*2+'Base Blumenau'!AN17</f>
        <v>18438.5712546252</v>
      </c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  <c r="KN15" s="23"/>
      <c r="KO15" s="23"/>
      <c r="KP15" s="23"/>
      <c r="KQ15" s="23"/>
      <c r="KR15" s="23"/>
      <c r="KS15" s="23"/>
      <c r="KT15" s="23"/>
      <c r="KU15" s="23"/>
      <c r="KV15" s="23"/>
      <c r="KW15" s="23"/>
      <c r="KX15" s="23"/>
      <c r="KY15" s="23"/>
      <c r="KZ15" s="23"/>
      <c r="LA15" s="23"/>
      <c r="LB15" s="23"/>
      <c r="LC15" s="23"/>
      <c r="LD15" s="23"/>
      <c r="LE15" s="23"/>
      <c r="LF15" s="23"/>
      <c r="LG15" s="23"/>
      <c r="LH15" s="23"/>
      <c r="LI15" s="23"/>
      <c r="LJ15" s="23"/>
      <c r="LK15" s="23"/>
      <c r="LL15" s="23"/>
      <c r="LM15" s="23"/>
      <c r="LN15" s="23"/>
      <c r="LO15" s="23"/>
      <c r="LP15" s="23"/>
      <c r="LQ15" s="23"/>
      <c r="LR15" s="23"/>
      <c r="LS15" s="23"/>
      <c r="LT15" s="23"/>
      <c r="LU15" s="23"/>
      <c r="LV15" s="23"/>
      <c r="LW15" s="23"/>
      <c r="LX15" s="23"/>
      <c r="LY15" s="23"/>
      <c r="LZ15" s="23"/>
      <c r="MA15" s="23"/>
      <c r="MB15" s="23"/>
      <c r="MC15" s="23"/>
      <c r="MD15" s="23"/>
      <c r="ME15" s="23"/>
      <c r="MF15" s="23"/>
      <c r="MG15" s="23"/>
      <c r="MH15" s="23"/>
      <c r="MI15" s="23"/>
      <c r="MJ15" s="23"/>
      <c r="MK15" s="23"/>
      <c r="ML15" s="23"/>
      <c r="MM15" s="23"/>
      <c r="MN15" s="23"/>
      <c r="MO15" s="23"/>
      <c r="MP15" s="23"/>
      <c r="MQ15" s="23"/>
      <c r="MR15" s="23"/>
      <c r="MS15" s="23"/>
      <c r="MT15" s="23"/>
      <c r="MU15" s="23"/>
      <c r="MV15" s="23"/>
      <c r="MW15" s="23"/>
      <c r="MX15" s="23"/>
      <c r="MY15" s="23"/>
      <c r="MZ15" s="23"/>
      <c r="NA15" s="23"/>
      <c r="NB15" s="23"/>
      <c r="NC15" s="23"/>
      <c r="ND15" s="23"/>
      <c r="NE15" s="23"/>
      <c r="NF15" s="23"/>
      <c r="NG15" s="23"/>
      <c r="NH15" s="23"/>
      <c r="NI15" s="23"/>
      <c r="NJ15" s="23"/>
      <c r="NK15" s="23"/>
      <c r="NL15" s="23"/>
      <c r="NM15" s="23"/>
      <c r="NN15" s="23"/>
      <c r="NO15" s="23"/>
      <c r="NP15" s="23"/>
      <c r="NQ15" s="23"/>
      <c r="NR15" s="23"/>
      <c r="NS15" s="23"/>
      <c r="NT15" s="23"/>
      <c r="NU15" s="23"/>
      <c r="NV15" s="23"/>
      <c r="NW15" s="23"/>
      <c r="NX15" s="23"/>
      <c r="NY15" s="23"/>
      <c r="NZ15" s="23"/>
      <c r="OA15" s="23"/>
      <c r="OB15" s="23"/>
      <c r="OC15" s="23"/>
      <c r="OD15" s="23"/>
      <c r="OE15" s="23"/>
      <c r="OF15" s="23"/>
      <c r="OG15" s="23"/>
      <c r="OH15" s="23"/>
      <c r="OI15" s="23"/>
      <c r="OJ15" s="23"/>
      <c r="OK15" s="23"/>
      <c r="OL15" s="23"/>
      <c r="OM15" s="23"/>
      <c r="ON15" s="23"/>
      <c r="OO15" s="23"/>
      <c r="OP15" s="23"/>
      <c r="OQ15" s="23"/>
      <c r="OR15" s="23"/>
      <c r="OS15" s="23"/>
      <c r="OT15" s="23"/>
      <c r="OU15" s="23"/>
      <c r="OV15" s="23"/>
      <c r="OW15" s="23"/>
      <c r="OX15" s="23"/>
      <c r="OY15" s="23"/>
      <c r="OZ15" s="23"/>
      <c r="PA15" s="23"/>
      <c r="PB15" s="23"/>
      <c r="PC15" s="23"/>
      <c r="PD15" s="23"/>
      <c r="PE15" s="23"/>
      <c r="PF15" s="23"/>
      <c r="PG15" s="23"/>
      <c r="PH15" s="23"/>
      <c r="PI15" s="23"/>
      <c r="PJ15" s="23"/>
      <c r="PK15" s="23"/>
      <c r="PL15" s="23"/>
      <c r="PM15" s="23"/>
      <c r="PN15" s="23"/>
      <c r="PO15" s="23"/>
      <c r="PP15" s="23"/>
      <c r="PQ15" s="23"/>
      <c r="PR15" s="23"/>
      <c r="PS15" s="23"/>
      <c r="PT15" s="23"/>
      <c r="PU15" s="23"/>
      <c r="PV15" s="23"/>
      <c r="PW15" s="23"/>
      <c r="PX15" s="23"/>
      <c r="PY15" s="23"/>
      <c r="PZ15" s="23"/>
      <c r="QA15" s="23"/>
      <c r="QB15" s="23"/>
      <c r="QC15" s="23"/>
      <c r="QD15" s="23"/>
      <c r="QE15" s="23"/>
      <c r="QF15" s="23"/>
      <c r="QG15" s="23"/>
      <c r="QH15" s="23"/>
      <c r="QI15" s="23"/>
      <c r="QJ15" s="23"/>
      <c r="QK15" s="23"/>
      <c r="QL15" s="23"/>
      <c r="QM15" s="23"/>
      <c r="QN15" s="23"/>
      <c r="QO15" s="23"/>
      <c r="QP15" s="23"/>
      <c r="QQ15" s="23"/>
      <c r="QR15" s="23"/>
      <c r="QS15" s="23"/>
      <c r="QT15" s="23"/>
      <c r="QU15" s="23"/>
      <c r="QV15" s="23"/>
      <c r="QW15" s="23"/>
      <c r="QX15" s="23"/>
      <c r="QY15" s="23"/>
      <c r="QZ15" s="23"/>
      <c r="RA15" s="23"/>
      <c r="RB15" s="23"/>
      <c r="RC15" s="23"/>
      <c r="RD15" s="23"/>
      <c r="RE15" s="23"/>
      <c r="RF15" s="23"/>
      <c r="RG15" s="23"/>
      <c r="RH15" s="23"/>
      <c r="RI15" s="23"/>
      <c r="RJ15" s="23"/>
      <c r="RK15" s="23"/>
      <c r="RL15" s="23"/>
      <c r="RM15" s="23"/>
      <c r="RN15" s="23"/>
      <c r="RO15" s="23"/>
      <c r="RP15" s="23"/>
      <c r="RQ15" s="23"/>
      <c r="RR15" s="23"/>
      <c r="RS15" s="23"/>
      <c r="RT15" s="23"/>
      <c r="RU15" s="23"/>
      <c r="RV15" s="23"/>
      <c r="RW15" s="23"/>
      <c r="RX15" s="23"/>
      <c r="RY15" s="23"/>
      <c r="RZ15" s="23"/>
      <c r="SA15" s="23"/>
      <c r="SB15" s="23"/>
      <c r="SC15" s="23"/>
      <c r="SD15" s="23"/>
      <c r="SE15" s="23"/>
      <c r="SF15" s="23"/>
      <c r="SG15" s="23"/>
      <c r="SH15" s="23"/>
      <c r="SI15" s="23"/>
      <c r="SJ15" s="23"/>
      <c r="SK15" s="23"/>
      <c r="SL15" s="23"/>
      <c r="SM15" s="23"/>
      <c r="SN15" s="23"/>
      <c r="SO15" s="23"/>
      <c r="SP15" s="23"/>
      <c r="SQ15" s="23"/>
      <c r="SR15" s="23"/>
      <c r="SS15" s="23"/>
      <c r="ST15" s="23"/>
      <c r="SU15" s="23"/>
      <c r="SV15" s="23"/>
      <c r="SW15" s="23"/>
      <c r="SX15" s="23"/>
      <c r="SY15" s="23"/>
      <c r="SZ15" s="23"/>
      <c r="TA15" s="23"/>
      <c r="TB15" s="23"/>
      <c r="TC15" s="23"/>
      <c r="TD15" s="23"/>
      <c r="TE15" s="23"/>
      <c r="TF15" s="23"/>
      <c r="TG15" s="23"/>
      <c r="TH15" s="23"/>
      <c r="TI15" s="23"/>
      <c r="TJ15" s="23"/>
      <c r="TK15" s="23"/>
      <c r="TL15" s="23"/>
      <c r="TM15" s="23"/>
      <c r="TN15" s="23"/>
      <c r="TO15" s="23"/>
      <c r="TP15" s="23"/>
      <c r="TQ15" s="23"/>
      <c r="TR15" s="23"/>
      <c r="TS15" s="23"/>
      <c r="TT15" s="23"/>
      <c r="TU15" s="23"/>
      <c r="TV15" s="23"/>
      <c r="TW15" s="23"/>
      <c r="TX15" s="23"/>
      <c r="TY15" s="23"/>
      <c r="TZ15" s="23"/>
      <c r="UA15" s="23"/>
      <c r="UB15" s="23"/>
      <c r="UC15" s="23"/>
      <c r="UD15" s="23"/>
      <c r="UE15" s="23"/>
      <c r="UF15" s="23"/>
      <c r="UG15" s="23"/>
      <c r="UH15" s="23"/>
      <c r="UI15" s="23"/>
      <c r="UJ15" s="23"/>
      <c r="UK15" s="23"/>
      <c r="UL15" s="23"/>
      <c r="UM15" s="23"/>
      <c r="UN15" s="23"/>
      <c r="UO15" s="23"/>
      <c r="UP15" s="23"/>
      <c r="UQ15" s="23"/>
      <c r="UR15" s="23"/>
      <c r="US15" s="23"/>
      <c r="UT15" s="23"/>
      <c r="UU15" s="23"/>
      <c r="UV15" s="23"/>
      <c r="UW15" s="23"/>
      <c r="UX15" s="23"/>
      <c r="UY15" s="23"/>
      <c r="UZ15" s="23"/>
      <c r="VA15" s="23"/>
      <c r="VB15" s="23"/>
      <c r="VC15" s="23"/>
      <c r="VD15" s="23"/>
      <c r="VE15" s="23"/>
      <c r="VF15" s="23"/>
      <c r="VG15" s="23"/>
      <c r="VH15" s="23"/>
      <c r="VI15" s="23"/>
      <c r="VJ15" s="23"/>
      <c r="VK15" s="23"/>
      <c r="VL15" s="23"/>
      <c r="VM15" s="23"/>
      <c r="VN15" s="23"/>
      <c r="VO15" s="23"/>
      <c r="VP15" s="23"/>
      <c r="VQ15" s="23"/>
      <c r="VR15" s="23"/>
      <c r="VS15" s="23"/>
      <c r="VT15" s="23"/>
      <c r="VU15" s="23"/>
      <c r="VV15" s="23"/>
      <c r="VW15" s="23"/>
      <c r="VX15" s="23"/>
      <c r="VY15" s="23"/>
      <c r="VZ15" s="23"/>
      <c r="WA15" s="23"/>
      <c r="WB15" s="23"/>
      <c r="WC15" s="23"/>
      <c r="WD15" s="23"/>
      <c r="WE15" s="23"/>
      <c r="WF15" s="23"/>
      <c r="WG15" s="23"/>
      <c r="WH15" s="23"/>
      <c r="WI15" s="23"/>
      <c r="WJ15" s="23"/>
      <c r="WK15" s="23"/>
      <c r="WL15" s="23"/>
      <c r="WM15" s="23"/>
      <c r="WN15" s="23"/>
      <c r="WO15" s="23"/>
      <c r="WP15" s="23"/>
      <c r="WQ15" s="23"/>
      <c r="WR15" s="23"/>
      <c r="WS15" s="23"/>
      <c r="WT15" s="23"/>
      <c r="WU15" s="23"/>
      <c r="WV15" s="23"/>
      <c r="WW15" s="23"/>
      <c r="WX15" s="23"/>
      <c r="WY15" s="23"/>
      <c r="WZ15" s="23"/>
      <c r="XA15" s="23"/>
      <c r="XB15" s="23"/>
      <c r="XC15" s="23"/>
      <c r="XD15" s="23"/>
      <c r="XE15" s="23"/>
      <c r="XF15" s="23"/>
      <c r="XG15" s="23"/>
      <c r="XH15" s="23"/>
      <c r="XI15" s="23"/>
      <c r="XJ15" s="23"/>
      <c r="XK15" s="23"/>
      <c r="XL15" s="23"/>
      <c r="XM15" s="23"/>
      <c r="XN15" s="23"/>
      <c r="XO15" s="23"/>
      <c r="XP15" s="23"/>
      <c r="XQ15" s="23"/>
      <c r="XR15" s="23"/>
      <c r="XS15" s="23"/>
      <c r="XT15" s="23"/>
      <c r="XU15" s="23"/>
      <c r="XV15" s="23"/>
      <c r="XW15" s="23"/>
      <c r="XX15" s="23"/>
      <c r="XY15" s="23"/>
      <c r="XZ15" s="23"/>
      <c r="YA15" s="23"/>
      <c r="YB15" s="23"/>
      <c r="YC15" s="23"/>
      <c r="YD15" s="23"/>
      <c r="YE15" s="23"/>
      <c r="YF15" s="23"/>
      <c r="YG15" s="23"/>
      <c r="YH15" s="23"/>
      <c r="YI15" s="23"/>
      <c r="YJ15" s="23"/>
      <c r="YK15" s="23"/>
      <c r="YL15" s="23"/>
      <c r="YM15" s="23"/>
      <c r="YN15" s="23"/>
      <c r="YO15" s="23"/>
      <c r="YP15" s="23"/>
      <c r="YQ15" s="23"/>
      <c r="YR15" s="23"/>
      <c r="YS15" s="23"/>
      <c r="YT15" s="23"/>
      <c r="YU15" s="23"/>
      <c r="YV15" s="23"/>
      <c r="YW15" s="23"/>
      <c r="YX15" s="23"/>
      <c r="YY15" s="23"/>
      <c r="YZ15" s="23"/>
      <c r="ZA15" s="23"/>
      <c r="ZB15" s="23"/>
      <c r="ZC15" s="23"/>
      <c r="ZD15" s="23"/>
      <c r="ZE15" s="23"/>
      <c r="ZF15" s="23"/>
      <c r="ZG15" s="23"/>
      <c r="ZH15" s="23"/>
      <c r="ZI15" s="23"/>
      <c r="ZJ15" s="23"/>
      <c r="ZK15" s="23"/>
      <c r="ZL15" s="23"/>
      <c r="ZM15" s="23"/>
      <c r="ZN15" s="23"/>
      <c r="ZO15" s="23"/>
      <c r="ZP15" s="23"/>
      <c r="ZQ15" s="23"/>
      <c r="ZR15" s="23"/>
      <c r="ZS15" s="23"/>
      <c r="ZT15" s="23"/>
      <c r="ZU15" s="23"/>
      <c r="ZV15" s="23"/>
      <c r="ZW15" s="23"/>
      <c r="ZX15" s="23"/>
      <c r="ZY15" s="23"/>
      <c r="ZZ15" s="23"/>
      <c r="AAA15" s="23"/>
      <c r="AAB15" s="23"/>
      <c r="AAC15" s="23"/>
      <c r="AAD15" s="23"/>
      <c r="AAE15" s="23"/>
      <c r="AAF15" s="23"/>
      <c r="AAG15" s="23"/>
      <c r="AAH15" s="23"/>
      <c r="AAI15" s="23"/>
      <c r="AAJ15" s="23"/>
      <c r="AAK15" s="23"/>
      <c r="AAL15" s="23"/>
      <c r="AAM15" s="23"/>
      <c r="AAN15" s="23"/>
      <c r="AAO15" s="23"/>
      <c r="AAP15" s="23"/>
      <c r="AAQ15" s="23"/>
      <c r="AAR15" s="23"/>
      <c r="AAS15" s="23"/>
      <c r="AAT15" s="23"/>
      <c r="AAU15" s="23"/>
      <c r="AAV15" s="23"/>
      <c r="AAW15" s="23"/>
      <c r="AAX15" s="23"/>
      <c r="AAY15" s="23"/>
      <c r="AAZ15" s="23"/>
      <c r="ABA15" s="23"/>
      <c r="ABB15" s="23"/>
      <c r="ABC15" s="23"/>
      <c r="ABD15" s="23"/>
      <c r="ABE15" s="23"/>
      <c r="ABF15" s="23"/>
      <c r="ABG15" s="23"/>
      <c r="ABH15" s="23"/>
      <c r="ABI15" s="23"/>
      <c r="ABJ15" s="23"/>
      <c r="ABK15" s="23"/>
      <c r="ABL15" s="23"/>
      <c r="ABM15" s="23"/>
      <c r="ABN15" s="23"/>
      <c r="ABO15" s="23"/>
      <c r="ABP15" s="23"/>
      <c r="ABQ15" s="23"/>
      <c r="ABR15" s="23"/>
      <c r="ABS15" s="23"/>
      <c r="ABT15" s="23"/>
      <c r="ABU15" s="23"/>
      <c r="ABV15" s="23"/>
      <c r="ABW15" s="23"/>
      <c r="ABX15" s="23"/>
      <c r="ABY15" s="23"/>
      <c r="ABZ15" s="23"/>
      <c r="ACA15" s="23"/>
      <c r="ACB15" s="23"/>
      <c r="ACC15" s="23"/>
      <c r="ACD15" s="23"/>
      <c r="ACE15" s="23"/>
      <c r="ACF15" s="23"/>
      <c r="ACG15" s="23"/>
      <c r="ACH15" s="23"/>
      <c r="ACI15" s="23"/>
      <c r="ACJ15" s="23"/>
      <c r="ACK15" s="23"/>
      <c r="ACL15" s="23"/>
      <c r="ACM15" s="23"/>
      <c r="ACN15" s="23"/>
      <c r="ACO15" s="23"/>
      <c r="ACP15" s="23"/>
      <c r="ACQ15" s="23"/>
      <c r="ACR15" s="23"/>
      <c r="ACS15" s="23"/>
      <c r="ACT15" s="23"/>
      <c r="ACU15" s="23"/>
      <c r="ACV15" s="23"/>
      <c r="ACW15" s="23"/>
      <c r="ACX15" s="23"/>
      <c r="ACY15" s="23"/>
      <c r="ACZ15" s="23"/>
      <c r="ADA15" s="23"/>
      <c r="ADB15" s="23"/>
      <c r="ADC15" s="23"/>
      <c r="ADD15" s="23"/>
      <c r="ADE15" s="23"/>
      <c r="ADF15" s="23"/>
      <c r="ADG15" s="23"/>
      <c r="ADH15" s="23"/>
      <c r="ADI15" s="23"/>
      <c r="ADJ15" s="23"/>
      <c r="ADK15" s="23"/>
      <c r="ADL15" s="23"/>
      <c r="ADM15" s="23"/>
      <c r="ADN15" s="23"/>
      <c r="ADO15" s="23"/>
      <c r="ADP15" s="23"/>
      <c r="ADQ15" s="23"/>
      <c r="ADR15" s="23"/>
      <c r="ADS15" s="23"/>
      <c r="ADT15" s="23"/>
      <c r="ADU15" s="23"/>
      <c r="ADV15" s="23"/>
      <c r="ADW15" s="23"/>
      <c r="ADX15" s="23"/>
      <c r="ADY15" s="23"/>
      <c r="ADZ15" s="23"/>
      <c r="AEA15" s="23"/>
      <c r="AEB15" s="23"/>
      <c r="AEC15" s="23"/>
      <c r="AED15" s="23"/>
      <c r="AEE15" s="23"/>
      <c r="AEF15" s="23"/>
      <c r="AEG15" s="23"/>
      <c r="AEH15" s="23"/>
      <c r="AEI15" s="23"/>
      <c r="AEJ15" s="23"/>
      <c r="AEK15" s="23"/>
      <c r="AEL15" s="23"/>
      <c r="AEM15" s="23"/>
      <c r="AEN15" s="23"/>
      <c r="AEO15" s="23"/>
      <c r="AEP15" s="23"/>
      <c r="AEQ15" s="23"/>
      <c r="AER15" s="23"/>
      <c r="AES15" s="23"/>
      <c r="AET15" s="23"/>
      <c r="AEU15" s="23"/>
      <c r="AEV15" s="23"/>
      <c r="AEW15" s="23"/>
      <c r="AEX15" s="23"/>
      <c r="AEY15" s="23"/>
      <c r="AEZ15" s="23"/>
      <c r="AFA15" s="23"/>
      <c r="AFB15" s="23"/>
      <c r="AFC15" s="23"/>
      <c r="AFD15" s="23"/>
      <c r="AFE15" s="23"/>
      <c r="AFF15" s="23"/>
      <c r="AFG15" s="23"/>
      <c r="AFH15" s="23"/>
      <c r="AFI15" s="23"/>
      <c r="AFJ15" s="23"/>
      <c r="AFK15" s="23"/>
      <c r="AFL15" s="23"/>
      <c r="AFM15" s="23"/>
      <c r="AFN15" s="23"/>
      <c r="AFO15" s="23"/>
      <c r="AFP15" s="23"/>
      <c r="AFQ15" s="23"/>
      <c r="AFR15" s="23"/>
      <c r="AFS15" s="23"/>
      <c r="AFT15" s="23"/>
      <c r="AFU15" s="23"/>
      <c r="AFV15" s="23"/>
      <c r="AFW15" s="23"/>
      <c r="AFX15" s="23"/>
      <c r="AFY15" s="23"/>
      <c r="AFZ15" s="23"/>
      <c r="AGA15" s="23"/>
      <c r="AGB15" s="23"/>
      <c r="AGC15" s="23"/>
      <c r="AGD15" s="23"/>
      <c r="AGE15" s="23"/>
      <c r="AGF15" s="23"/>
      <c r="AGG15" s="23"/>
      <c r="AGH15" s="23"/>
      <c r="AGI15" s="23"/>
      <c r="AGJ15" s="23"/>
      <c r="AGK15" s="23"/>
      <c r="AGL15" s="23"/>
      <c r="AGM15" s="23"/>
      <c r="AGN15" s="23"/>
      <c r="AGO15" s="23"/>
      <c r="AGP15" s="23"/>
      <c r="AGQ15" s="23"/>
      <c r="AGR15" s="23"/>
      <c r="AGS15" s="23"/>
      <c r="AGT15" s="23"/>
      <c r="AGU15" s="23"/>
      <c r="AGV15" s="23"/>
      <c r="AGW15" s="23"/>
      <c r="AGX15" s="23"/>
      <c r="AGY15" s="23"/>
      <c r="AGZ15" s="23"/>
      <c r="AHA15" s="23"/>
      <c r="AHB15" s="23"/>
      <c r="AHC15" s="23"/>
      <c r="AHD15" s="23"/>
      <c r="AHE15" s="23"/>
      <c r="AHF15" s="23"/>
      <c r="AHG15" s="23"/>
      <c r="AHH15" s="23"/>
      <c r="AHI15" s="23"/>
      <c r="AHJ15" s="23"/>
      <c r="AHK15" s="23"/>
      <c r="AHL15" s="23"/>
      <c r="AHM15" s="23"/>
      <c r="AHN15" s="23"/>
      <c r="AHO15" s="23"/>
      <c r="AHP15" s="23"/>
      <c r="AHQ15" s="23"/>
      <c r="AHR15" s="23"/>
      <c r="AHS15" s="23"/>
      <c r="AHT15" s="23"/>
      <c r="AHU15" s="23"/>
      <c r="AHV15" s="23"/>
      <c r="AHW15" s="23"/>
      <c r="AHX15" s="23"/>
      <c r="AHY15" s="23"/>
      <c r="AHZ15" s="23"/>
      <c r="AIA15" s="23"/>
      <c r="AIB15" s="23"/>
      <c r="AIC15" s="23"/>
      <c r="AID15" s="23"/>
      <c r="AIE15" s="23"/>
      <c r="AIF15" s="23"/>
      <c r="AIG15" s="23"/>
      <c r="AIH15" s="23"/>
      <c r="AII15" s="23"/>
      <c r="AIJ15" s="23"/>
      <c r="AIK15" s="23"/>
      <c r="AIL15" s="23"/>
      <c r="AIM15" s="23"/>
      <c r="AIN15" s="23"/>
      <c r="AIO15" s="23"/>
      <c r="AIP15" s="23"/>
      <c r="AIQ15" s="23"/>
      <c r="AIR15" s="23"/>
      <c r="AIS15" s="23"/>
      <c r="AIT15" s="23"/>
      <c r="AIU15" s="23"/>
      <c r="AIV15" s="23"/>
      <c r="AIW15" s="23"/>
      <c r="AIX15" s="23"/>
      <c r="AIY15" s="23"/>
      <c r="AIZ15" s="23"/>
      <c r="AJA15" s="23"/>
      <c r="AJB15" s="23"/>
      <c r="AJC15" s="23"/>
      <c r="AJD15" s="23"/>
      <c r="AJE15" s="23"/>
      <c r="AJF15" s="23"/>
      <c r="AJG15" s="23"/>
      <c r="AJH15" s="23"/>
      <c r="AJI15" s="23"/>
      <c r="AJJ15" s="23"/>
      <c r="AJK15" s="23"/>
      <c r="AJL15" s="23"/>
      <c r="AJM15" s="23"/>
      <c r="AJN15" s="23"/>
      <c r="AJO15" s="23"/>
      <c r="AJP15" s="23"/>
      <c r="AJQ15" s="23"/>
      <c r="AJR15" s="23"/>
      <c r="AJS15" s="23"/>
      <c r="AJT15" s="23"/>
      <c r="AJU15" s="23"/>
      <c r="AJV15" s="23"/>
      <c r="AJW15" s="23"/>
      <c r="AJX15" s="23"/>
      <c r="AJY15" s="23"/>
      <c r="AJZ15" s="23"/>
      <c r="AKA15" s="23"/>
      <c r="AKB15" s="23"/>
      <c r="AKC15" s="23"/>
      <c r="AKD15" s="23"/>
      <c r="AKE15" s="23"/>
      <c r="AKF15" s="23"/>
      <c r="AKG15" s="23"/>
      <c r="AKH15" s="23"/>
      <c r="AKI15" s="23"/>
      <c r="AKJ15" s="23"/>
      <c r="AKK15" s="23"/>
      <c r="AKL15" s="23"/>
      <c r="AKM15" s="23"/>
      <c r="AKN15" s="23"/>
      <c r="AKO15" s="23"/>
      <c r="AKP15" s="23"/>
      <c r="AKQ15" s="23"/>
      <c r="AKR15" s="23"/>
      <c r="AKS15" s="23"/>
      <c r="AKT15" s="23"/>
      <c r="AKU15" s="23"/>
      <c r="AKV15" s="23"/>
      <c r="AKW15" s="23"/>
      <c r="AKX15" s="23"/>
      <c r="AKY15" s="23"/>
      <c r="AKZ15" s="23"/>
      <c r="ALA15" s="23"/>
      <c r="ALB15" s="23"/>
      <c r="ALC15" s="23"/>
      <c r="ALD15" s="23"/>
      <c r="ALE15" s="23"/>
      <c r="ALF15" s="23"/>
      <c r="ALG15" s="23"/>
      <c r="ALH15" s="23"/>
      <c r="ALI15" s="23"/>
      <c r="ALJ15" s="23"/>
      <c r="ALK15" s="23"/>
      <c r="ALL15" s="23"/>
      <c r="ALM15" s="23"/>
      <c r="ALN15" s="23"/>
      <c r="ALO15" s="23"/>
      <c r="ALP15" s="23"/>
      <c r="ALQ15" s="23"/>
      <c r="ALR15" s="23"/>
      <c r="ALS15" s="23"/>
      <c r="ALT15" s="23"/>
      <c r="ALU15" s="23"/>
      <c r="ALV15" s="23"/>
      <c r="ALW15" s="23"/>
      <c r="ALX15" s="23"/>
      <c r="ALY15" s="23"/>
      <c r="ALZ15" s="23"/>
      <c r="AMA15" s="23"/>
      <c r="AMB15" s="23"/>
      <c r="AMC15" s="23"/>
      <c r="AMD15" s="23"/>
    </row>
    <row r="16" customFormat="false" ht="15" hidden="false" customHeight="true" outlineLevel="0" collapsed="false">
      <c r="A16" s="23"/>
      <c r="B16" s="70" t="s">
        <v>131</v>
      </c>
      <c r="C16" s="284" t="n">
        <f aca="false">VLOOKUP(B16,Unidades!$D$5:$G$24,4,)</f>
        <v>0.03</v>
      </c>
      <c r="D16" s="285" t="n">
        <f aca="false">'Base Joinville'!AD7*12+'Base Joinville'!AE7*4+'Base Joinville'!AF7*2+'Base Joinville'!AG7</f>
        <v>23163.4156567658</v>
      </c>
      <c r="E16" s="285" t="n">
        <f aca="false">'Base Joinville'!AK7*12+'Base Joinville'!AL7*4+'Base Joinville'!AM7*2+'Base Joinville'!AN7</f>
        <v>29762.6727773783</v>
      </c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23"/>
      <c r="LK16" s="23"/>
      <c r="LL16" s="23"/>
      <c r="LM16" s="23"/>
      <c r="LN16" s="23"/>
      <c r="LO16" s="23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3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3"/>
      <c r="MU16" s="23"/>
      <c r="MV16" s="23"/>
      <c r="MW16" s="23"/>
      <c r="MX16" s="23"/>
      <c r="MY16" s="23"/>
      <c r="MZ16" s="23"/>
      <c r="NA16" s="23"/>
      <c r="NB16" s="23"/>
      <c r="NC16" s="23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3"/>
      <c r="NW16" s="23"/>
      <c r="NX16" s="23"/>
      <c r="NY16" s="23"/>
      <c r="NZ16" s="23"/>
      <c r="OA16" s="23"/>
      <c r="OB16" s="23"/>
      <c r="OC16" s="23"/>
      <c r="OD16" s="23"/>
      <c r="OE16" s="23"/>
      <c r="OF16" s="23"/>
      <c r="OG16" s="23"/>
      <c r="OH16" s="23"/>
      <c r="OI16" s="23"/>
      <c r="OJ16" s="23"/>
      <c r="OK16" s="23"/>
      <c r="OL16" s="23"/>
      <c r="OM16" s="23"/>
      <c r="ON16" s="23"/>
      <c r="OO16" s="23"/>
      <c r="OP16" s="23"/>
      <c r="OQ16" s="23"/>
      <c r="OR16" s="23"/>
      <c r="OS16" s="23"/>
      <c r="OT16" s="23"/>
      <c r="OU16" s="23"/>
      <c r="OV16" s="23"/>
      <c r="OW16" s="23"/>
      <c r="OX16" s="23"/>
      <c r="OY16" s="23"/>
      <c r="OZ16" s="23"/>
      <c r="PA16" s="23"/>
      <c r="PB16" s="23"/>
      <c r="PC16" s="23"/>
      <c r="PD16" s="23"/>
      <c r="PE16" s="23"/>
      <c r="PF16" s="23"/>
      <c r="PG16" s="23"/>
      <c r="PH16" s="23"/>
      <c r="PI16" s="23"/>
      <c r="PJ16" s="23"/>
      <c r="PK16" s="23"/>
      <c r="PL16" s="23"/>
      <c r="PM16" s="23"/>
      <c r="PN16" s="23"/>
      <c r="PO16" s="23"/>
      <c r="PP16" s="23"/>
      <c r="PQ16" s="23"/>
      <c r="PR16" s="23"/>
      <c r="PS16" s="23"/>
      <c r="PT16" s="23"/>
      <c r="PU16" s="23"/>
      <c r="PV16" s="23"/>
      <c r="PW16" s="23"/>
      <c r="PX16" s="23"/>
      <c r="PY16" s="23"/>
      <c r="PZ16" s="23"/>
      <c r="QA16" s="23"/>
      <c r="QB16" s="23"/>
      <c r="QC16" s="23"/>
      <c r="QD16" s="23"/>
      <c r="QE16" s="23"/>
      <c r="QF16" s="23"/>
      <c r="QG16" s="23"/>
      <c r="QH16" s="23"/>
      <c r="QI16" s="23"/>
      <c r="QJ16" s="23"/>
      <c r="QK16" s="23"/>
      <c r="QL16" s="23"/>
      <c r="QM16" s="23"/>
      <c r="QN16" s="23"/>
      <c r="QO16" s="23"/>
      <c r="QP16" s="23"/>
      <c r="QQ16" s="23"/>
      <c r="QR16" s="23"/>
      <c r="QS16" s="23"/>
      <c r="QT16" s="23"/>
      <c r="QU16" s="23"/>
      <c r="QV16" s="23"/>
      <c r="QW16" s="23"/>
      <c r="QX16" s="23"/>
      <c r="QY16" s="23"/>
      <c r="QZ16" s="23"/>
      <c r="RA16" s="23"/>
      <c r="RB16" s="23"/>
      <c r="RC16" s="23"/>
      <c r="RD16" s="23"/>
      <c r="RE16" s="23"/>
      <c r="RF16" s="23"/>
      <c r="RG16" s="23"/>
      <c r="RH16" s="23"/>
      <c r="RI16" s="23"/>
      <c r="RJ16" s="23"/>
      <c r="RK16" s="23"/>
      <c r="RL16" s="23"/>
      <c r="RM16" s="23"/>
      <c r="RN16" s="23"/>
      <c r="RO16" s="23"/>
      <c r="RP16" s="23"/>
      <c r="RQ16" s="23"/>
      <c r="RR16" s="23"/>
      <c r="RS16" s="23"/>
      <c r="RT16" s="23"/>
      <c r="RU16" s="23"/>
      <c r="RV16" s="23"/>
      <c r="RW16" s="23"/>
      <c r="RX16" s="23"/>
      <c r="RY16" s="23"/>
      <c r="RZ16" s="23"/>
      <c r="SA16" s="23"/>
      <c r="SB16" s="23"/>
      <c r="SC16" s="23"/>
      <c r="SD16" s="23"/>
      <c r="SE16" s="23"/>
      <c r="SF16" s="23"/>
      <c r="SG16" s="23"/>
      <c r="SH16" s="23"/>
      <c r="SI16" s="23"/>
      <c r="SJ16" s="23"/>
      <c r="SK16" s="23"/>
      <c r="SL16" s="23"/>
      <c r="SM16" s="23"/>
      <c r="SN16" s="23"/>
      <c r="SO16" s="23"/>
      <c r="SP16" s="23"/>
      <c r="SQ16" s="23"/>
      <c r="SR16" s="23"/>
      <c r="SS16" s="23"/>
      <c r="ST16" s="23"/>
      <c r="SU16" s="23"/>
      <c r="SV16" s="23"/>
      <c r="SW16" s="23"/>
      <c r="SX16" s="23"/>
      <c r="SY16" s="23"/>
      <c r="SZ16" s="23"/>
      <c r="TA16" s="23"/>
      <c r="TB16" s="23"/>
      <c r="TC16" s="23"/>
      <c r="TD16" s="23"/>
      <c r="TE16" s="23"/>
      <c r="TF16" s="23"/>
      <c r="TG16" s="23"/>
      <c r="TH16" s="23"/>
      <c r="TI16" s="23"/>
      <c r="TJ16" s="23"/>
      <c r="TK16" s="23"/>
      <c r="TL16" s="23"/>
      <c r="TM16" s="23"/>
      <c r="TN16" s="23"/>
      <c r="TO16" s="23"/>
      <c r="TP16" s="23"/>
      <c r="TQ16" s="23"/>
      <c r="TR16" s="23"/>
      <c r="TS16" s="23"/>
      <c r="TT16" s="23"/>
      <c r="TU16" s="23"/>
      <c r="TV16" s="23"/>
      <c r="TW16" s="23"/>
      <c r="TX16" s="23"/>
      <c r="TY16" s="23"/>
      <c r="TZ16" s="23"/>
      <c r="UA16" s="23"/>
      <c r="UB16" s="23"/>
      <c r="UC16" s="23"/>
      <c r="UD16" s="23"/>
      <c r="UE16" s="23"/>
      <c r="UF16" s="23"/>
      <c r="UG16" s="23"/>
      <c r="UH16" s="23"/>
      <c r="UI16" s="23"/>
      <c r="UJ16" s="23"/>
      <c r="UK16" s="23"/>
      <c r="UL16" s="23"/>
      <c r="UM16" s="23"/>
      <c r="UN16" s="23"/>
      <c r="UO16" s="23"/>
      <c r="UP16" s="23"/>
      <c r="UQ16" s="23"/>
      <c r="UR16" s="23"/>
      <c r="US16" s="23"/>
      <c r="UT16" s="23"/>
      <c r="UU16" s="23"/>
      <c r="UV16" s="23"/>
      <c r="UW16" s="23"/>
      <c r="UX16" s="23"/>
      <c r="UY16" s="23"/>
      <c r="UZ16" s="23"/>
      <c r="VA16" s="23"/>
      <c r="VB16" s="23"/>
      <c r="VC16" s="23"/>
      <c r="VD16" s="23"/>
      <c r="VE16" s="23"/>
      <c r="VF16" s="23"/>
      <c r="VG16" s="23"/>
      <c r="VH16" s="23"/>
      <c r="VI16" s="23"/>
      <c r="VJ16" s="23"/>
      <c r="VK16" s="23"/>
      <c r="VL16" s="23"/>
      <c r="VM16" s="23"/>
      <c r="VN16" s="23"/>
      <c r="VO16" s="23"/>
      <c r="VP16" s="23"/>
      <c r="VQ16" s="23"/>
      <c r="VR16" s="23"/>
      <c r="VS16" s="23"/>
      <c r="VT16" s="23"/>
      <c r="VU16" s="23"/>
      <c r="VV16" s="23"/>
      <c r="VW16" s="23"/>
      <c r="VX16" s="23"/>
      <c r="VY16" s="23"/>
      <c r="VZ16" s="23"/>
      <c r="WA16" s="23"/>
      <c r="WB16" s="23"/>
      <c r="WC16" s="23"/>
      <c r="WD16" s="23"/>
      <c r="WE16" s="23"/>
      <c r="WF16" s="23"/>
      <c r="WG16" s="23"/>
      <c r="WH16" s="23"/>
      <c r="WI16" s="23"/>
      <c r="WJ16" s="23"/>
      <c r="WK16" s="23"/>
      <c r="WL16" s="23"/>
      <c r="WM16" s="23"/>
      <c r="WN16" s="23"/>
      <c r="WO16" s="23"/>
      <c r="WP16" s="23"/>
      <c r="WQ16" s="23"/>
      <c r="WR16" s="23"/>
      <c r="WS16" s="23"/>
      <c r="WT16" s="23"/>
      <c r="WU16" s="23"/>
      <c r="WV16" s="23"/>
      <c r="WW16" s="23"/>
      <c r="WX16" s="23"/>
      <c r="WY16" s="23"/>
      <c r="WZ16" s="23"/>
      <c r="XA16" s="23"/>
      <c r="XB16" s="23"/>
      <c r="XC16" s="23"/>
      <c r="XD16" s="23"/>
      <c r="XE16" s="23"/>
      <c r="XF16" s="23"/>
      <c r="XG16" s="23"/>
      <c r="XH16" s="23"/>
      <c r="XI16" s="23"/>
      <c r="XJ16" s="23"/>
      <c r="XK16" s="23"/>
      <c r="XL16" s="23"/>
      <c r="XM16" s="23"/>
      <c r="XN16" s="23"/>
      <c r="XO16" s="23"/>
      <c r="XP16" s="23"/>
      <c r="XQ16" s="23"/>
      <c r="XR16" s="23"/>
      <c r="XS16" s="23"/>
      <c r="XT16" s="23"/>
      <c r="XU16" s="23"/>
      <c r="XV16" s="23"/>
      <c r="XW16" s="23"/>
      <c r="XX16" s="23"/>
      <c r="XY16" s="23"/>
      <c r="XZ16" s="23"/>
      <c r="YA16" s="23"/>
      <c r="YB16" s="23"/>
      <c r="YC16" s="23"/>
      <c r="YD16" s="23"/>
      <c r="YE16" s="23"/>
      <c r="YF16" s="23"/>
      <c r="YG16" s="23"/>
      <c r="YH16" s="23"/>
      <c r="YI16" s="23"/>
      <c r="YJ16" s="23"/>
      <c r="YK16" s="23"/>
      <c r="YL16" s="23"/>
      <c r="YM16" s="23"/>
      <c r="YN16" s="23"/>
      <c r="YO16" s="23"/>
      <c r="YP16" s="23"/>
      <c r="YQ16" s="23"/>
      <c r="YR16" s="23"/>
      <c r="YS16" s="23"/>
      <c r="YT16" s="23"/>
      <c r="YU16" s="23"/>
      <c r="YV16" s="23"/>
      <c r="YW16" s="23"/>
      <c r="YX16" s="23"/>
      <c r="YY16" s="23"/>
      <c r="YZ16" s="23"/>
      <c r="ZA16" s="23"/>
      <c r="ZB16" s="23"/>
      <c r="ZC16" s="23"/>
      <c r="ZD16" s="23"/>
      <c r="ZE16" s="23"/>
      <c r="ZF16" s="23"/>
      <c r="ZG16" s="23"/>
      <c r="ZH16" s="23"/>
      <c r="ZI16" s="23"/>
      <c r="ZJ16" s="23"/>
      <c r="ZK16" s="23"/>
      <c r="ZL16" s="23"/>
      <c r="ZM16" s="23"/>
      <c r="ZN16" s="23"/>
      <c r="ZO16" s="23"/>
      <c r="ZP16" s="23"/>
      <c r="ZQ16" s="23"/>
      <c r="ZR16" s="23"/>
      <c r="ZS16" s="23"/>
      <c r="ZT16" s="23"/>
      <c r="ZU16" s="23"/>
      <c r="ZV16" s="23"/>
      <c r="ZW16" s="23"/>
      <c r="ZX16" s="23"/>
      <c r="ZY16" s="23"/>
      <c r="ZZ16" s="23"/>
      <c r="AAA16" s="23"/>
      <c r="AAB16" s="23"/>
      <c r="AAC16" s="23"/>
      <c r="AAD16" s="23"/>
      <c r="AAE16" s="23"/>
      <c r="AAF16" s="23"/>
      <c r="AAG16" s="23"/>
      <c r="AAH16" s="23"/>
      <c r="AAI16" s="23"/>
      <c r="AAJ16" s="23"/>
      <c r="AAK16" s="23"/>
      <c r="AAL16" s="23"/>
      <c r="AAM16" s="23"/>
      <c r="AAN16" s="23"/>
      <c r="AAO16" s="23"/>
      <c r="AAP16" s="23"/>
      <c r="AAQ16" s="23"/>
      <c r="AAR16" s="23"/>
      <c r="AAS16" s="23"/>
      <c r="AAT16" s="23"/>
      <c r="AAU16" s="23"/>
      <c r="AAV16" s="23"/>
      <c r="AAW16" s="23"/>
      <c r="AAX16" s="23"/>
      <c r="AAY16" s="23"/>
      <c r="AAZ16" s="23"/>
      <c r="ABA16" s="23"/>
      <c r="ABB16" s="23"/>
      <c r="ABC16" s="23"/>
      <c r="ABD16" s="23"/>
      <c r="ABE16" s="23"/>
      <c r="ABF16" s="23"/>
      <c r="ABG16" s="23"/>
      <c r="ABH16" s="23"/>
      <c r="ABI16" s="23"/>
      <c r="ABJ16" s="23"/>
      <c r="ABK16" s="23"/>
      <c r="ABL16" s="23"/>
      <c r="ABM16" s="23"/>
      <c r="ABN16" s="23"/>
      <c r="ABO16" s="23"/>
      <c r="ABP16" s="23"/>
      <c r="ABQ16" s="23"/>
      <c r="ABR16" s="23"/>
      <c r="ABS16" s="23"/>
      <c r="ABT16" s="23"/>
      <c r="ABU16" s="23"/>
      <c r="ABV16" s="23"/>
      <c r="ABW16" s="23"/>
      <c r="ABX16" s="23"/>
      <c r="ABY16" s="23"/>
      <c r="ABZ16" s="23"/>
      <c r="ACA16" s="23"/>
      <c r="ACB16" s="23"/>
      <c r="ACC16" s="23"/>
      <c r="ACD16" s="23"/>
      <c r="ACE16" s="23"/>
      <c r="ACF16" s="23"/>
      <c r="ACG16" s="23"/>
      <c r="ACH16" s="23"/>
      <c r="ACI16" s="23"/>
      <c r="ACJ16" s="23"/>
      <c r="ACK16" s="23"/>
      <c r="ACL16" s="23"/>
      <c r="ACM16" s="23"/>
      <c r="ACN16" s="23"/>
      <c r="ACO16" s="23"/>
      <c r="ACP16" s="23"/>
      <c r="ACQ16" s="23"/>
      <c r="ACR16" s="23"/>
      <c r="ACS16" s="23"/>
      <c r="ACT16" s="23"/>
      <c r="ACU16" s="23"/>
      <c r="ACV16" s="23"/>
      <c r="ACW16" s="23"/>
      <c r="ACX16" s="23"/>
      <c r="ACY16" s="23"/>
      <c r="ACZ16" s="23"/>
      <c r="ADA16" s="23"/>
      <c r="ADB16" s="23"/>
      <c r="ADC16" s="23"/>
      <c r="ADD16" s="23"/>
      <c r="ADE16" s="23"/>
      <c r="ADF16" s="23"/>
      <c r="ADG16" s="23"/>
      <c r="ADH16" s="23"/>
      <c r="ADI16" s="23"/>
      <c r="ADJ16" s="23"/>
      <c r="ADK16" s="23"/>
      <c r="ADL16" s="23"/>
      <c r="ADM16" s="23"/>
      <c r="ADN16" s="23"/>
      <c r="ADO16" s="23"/>
      <c r="ADP16" s="23"/>
      <c r="ADQ16" s="23"/>
      <c r="ADR16" s="23"/>
      <c r="ADS16" s="23"/>
      <c r="ADT16" s="23"/>
      <c r="ADU16" s="23"/>
      <c r="ADV16" s="23"/>
      <c r="ADW16" s="23"/>
      <c r="ADX16" s="23"/>
      <c r="ADY16" s="23"/>
      <c r="ADZ16" s="23"/>
      <c r="AEA16" s="23"/>
      <c r="AEB16" s="23"/>
      <c r="AEC16" s="23"/>
      <c r="AED16" s="23"/>
      <c r="AEE16" s="23"/>
      <c r="AEF16" s="23"/>
      <c r="AEG16" s="23"/>
      <c r="AEH16" s="23"/>
      <c r="AEI16" s="23"/>
      <c r="AEJ16" s="23"/>
      <c r="AEK16" s="23"/>
      <c r="AEL16" s="23"/>
      <c r="AEM16" s="23"/>
      <c r="AEN16" s="23"/>
      <c r="AEO16" s="23"/>
      <c r="AEP16" s="23"/>
      <c r="AEQ16" s="23"/>
      <c r="AER16" s="23"/>
      <c r="AES16" s="23"/>
      <c r="AET16" s="23"/>
      <c r="AEU16" s="23"/>
      <c r="AEV16" s="23"/>
      <c r="AEW16" s="23"/>
      <c r="AEX16" s="23"/>
      <c r="AEY16" s="23"/>
      <c r="AEZ16" s="23"/>
      <c r="AFA16" s="23"/>
      <c r="AFB16" s="23"/>
      <c r="AFC16" s="23"/>
      <c r="AFD16" s="23"/>
      <c r="AFE16" s="23"/>
      <c r="AFF16" s="23"/>
      <c r="AFG16" s="23"/>
      <c r="AFH16" s="23"/>
      <c r="AFI16" s="23"/>
      <c r="AFJ16" s="23"/>
      <c r="AFK16" s="23"/>
      <c r="AFL16" s="23"/>
      <c r="AFM16" s="23"/>
      <c r="AFN16" s="23"/>
      <c r="AFO16" s="23"/>
      <c r="AFP16" s="23"/>
      <c r="AFQ16" s="23"/>
      <c r="AFR16" s="23"/>
      <c r="AFS16" s="23"/>
      <c r="AFT16" s="23"/>
      <c r="AFU16" s="23"/>
      <c r="AFV16" s="23"/>
      <c r="AFW16" s="23"/>
      <c r="AFX16" s="23"/>
      <c r="AFY16" s="23"/>
      <c r="AFZ16" s="23"/>
      <c r="AGA16" s="23"/>
      <c r="AGB16" s="23"/>
      <c r="AGC16" s="23"/>
      <c r="AGD16" s="23"/>
      <c r="AGE16" s="23"/>
      <c r="AGF16" s="23"/>
      <c r="AGG16" s="23"/>
      <c r="AGH16" s="23"/>
      <c r="AGI16" s="23"/>
      <c r="AGJ16" s="23"/>
      <c r="AGK16" s="23"/>
      <c r="AGL16" s="23"/>
      <c r="AGM16" s="23"/>
      <c r="AGN16" s="23"/>
      <c r="AGO16" s="23"/>
      <c r="AGP16" s="23"/>
      <c r="AGQ16" s="23"/>
      <c r="AGR16" s="23"/>
      <c r="AGS16" s="23"/>
      <c r="AGT16" s="23"/>
      <c r="AGU16" s="23"/>
      <c r="AGV16" s="23"/>
      <c r="AGW16" s="23"/>
      <c r="AGX16" s="23"/>
      <c r="AGY16" s="23"/>
      <c r="AGZ16" s="23"/>
      <c r="AHA16" s="23"/>
      <c r="AHB16" s="23"/>
      <c r="AHC16" s="23"/>
      <c r="AHD16" s="23"/>
      <c r="AHE16" s="23"/>
      <c r="AHF16" s="23"/>
      <c r="AHG16" s="23"/>
      <c r="AHH16" s="23"/>
      <c r="AHI16" s="23"/>
      <c r="AHJ16" s="23"/>
      <c r="AHK16" s="23"/>
      <c r="AHL16" s="23"/>
      <c r="AHM16" s="23"/>
      <c r="AHN16" s="23"/>
      <c r="AHO16" s="23"/>
      <c r="AHP16" s="23"/>
      <c r="AHQ16" s="23"/>
      <c r="AHR16" s="23"/>
      <c r="AHS16" s="23"/>
      <c r="AHT16" s="23"/>
      <c r="AHU16" s="23"/>
      <c r="AHV16" s="23"/>
      <c r="AHW16" s="23"/>
      <c r="AHX16" s="23"/>
      <c r="AHY16" s="23"/>
      <c r="AHZ16" s="23"/>
      <c r="AIA16" s="23"/>
      <c r="AIB16" s="23"/>
      <c r="AIC16" s="23"/>
      <c r="AID16" s="23"/>
      <c r="AIE16" s="23"/>
      <c r="AIF16" s="23"/>
      <c r="AIG16" s="23"/>
      <c r="AIH16" s="23"/>
      <c r="AII16" s="23"/>
      <c r="AIJ16" s="23"/>
      <c r="AIK16" s="23"/>
      <c r="AIL16" s="23"/>
      <c r="AIM16" s="23"/>
      <c r="AIN16" s="23"/>
      <c r="AIO16" s="23"/>
      <c r="AIP16" s="23"/>
      <c r="AIQ16" s="23"/>
      <c r="AIR16" s="23"/>
      <c r="AIS16" s="23"/>
      <c r="AIT16" s="23"/>
      <c r="AIU16" s="23"/>
      <c r="AIV16" s="23"/>
      <c r="AIW16" s="23"/>
      <c r="AIX16" s="23"/>
      <c r="AIY16" s="23"/>
      <c r="AIZ16" s="23"/>
      <c r="AJA16" s="23"/>
      <c r="AJB16" s="23"/>
      <c r="AJC16" s="23"/>
      <c r="AJD16" s="23"/>
      <c r="AJE16" s="23"/>
      <c r="AJF16" s="23"/>
      <c r="AJG16" s="23"/>
      <c r="AJH16" s="23"/>
      <c r="AJI16" s="23"/>
      <c r="AJJ16" s="23"/>
      <c r="AJK16" s="23"/>
      <c r="AJL16" s="23"/>
      <c r="AJM16" s="23"/>
      <c r="AJN16" s="23"/>
      <c r="AJO16" s="23"/>
      <c r="AJP16" s="23"/>
      <c r="AJQ16" s="23"/>
      <c r="AJR16" s="23"/>
      <c r="AJS16" s="23"/>
      <c r="AJT16" s="23"/>
      <c r="AJU16" s="23"/>
      <c r="AJV16" s="23"/>
      <c r="AJW16" s="23"/>
      <c r="AJX16" s="23"/>
      <c r="AJY16" s="23"/>
      <c r="AJZ16" s="23"/>
      <c r="AKA16" s="23"/>
      <c r="AKB16" s="23"/>
      <c r="AKC16" s="23"/>
      <c r="AKD16" s="23"/>
      <c r="AKE16" s="23"/>
      <c r="AKF16" s="23"/>
      <c r="AKG16" s="23"/>
      <c r="AKH16" s="23"/>
      <c r="AKI16" s="23"/>
      <c r="AKJ16" s="23"/>
      <c r="AKK16" s="23"/>
      <c r="AKL16" s="23"/>
      <c r="AKM16" s="23"/>
      <c r="AKN16" s="23"/>
      <c r="AKO16" s="23"/>
      <c r="AKP16" s="23"/>
      <c r="AKQ16" s="23"/>
      <c r="AKR16" s="23"/>
      <c r="AKS16" s="23"/>
      <c r="AKT16" s="23"/>
      <c r="AKU16" s="23"/>
      <c r="AKV16" s="23"/>
      <c r="AKW16" s="23"/>
      <c r="AKX16" s="23"/>
      <c r="AKY16" s="23"/>
      <c r="AKZ16" s="23"/>
      <c r="ALA16" s="23"/>
      <c r="ALB16" s="23"/>
      <c r="ALC16" s="23"/>
      <c r="ALD16" s="23"/>
      <c r="ALE16" s="23"/>
      <c r="ALF16" s="23"/>
      <c r="ALG16" s="23"/>
      <c r="ALH16" s="23"/>
      <c r="ALI16" s="23"/>
      <c r="ALJ16" s="23"/>
      <c r="ALK16" s="23"/>
      <c r="ALL16" s="23"/>
      <c r="ALM16" s="23"/>
      <c r="ALN16" s="23"/>
      <c r="ALO16" s="23"/>
      <c r="ALP16" s="23"/>
      <c r="ALQ16" s="23"/>
      <c r="ALR16" s="23"/>
      <c r="ALS16" s="23"/>
      <c r="ALT16" s="23"/>
      <c r="ALU16" s="23"/>
      <c r="ALV16" s="23"/>
      <c r="ALW16" s="23"/>
      <c r="ALX16" s="23"/>
      <c r="ALY16" s="23"/>
      <c r="ALZ16" s="23"/>
      <c r="AMA16" s="23"/>
      <c r="AMB16" s="23"/>
      <c r="AMC16" s="23"/>
      <c r="AMD16" s="23"/>
    </row>
    <row r="17" customFormat="false" ht="15" hidden="false" customHeight="true" outlineLevel="0" collapsed="false">
      <c r="A17" s="23"/>
      <c r="B17" s="70" t="s">
        <v>132</v>
      </c>
      <c r="C17" s="284" t="n">
        <f aca="false">VLOOKUP(B17,Unidades!$D$5:$G$24,4,)</f>
        <v>0.02</v>
      </c>
      <c r="D17" s="285" t="n">
        <f aca="false">'Base Joinville'!AD8*12+'Base Joinville'!AE8*4+'Base Joinville'!AF8*2+'Base Joinville'!AG8</f>
        <v>10245.3706330878</v>
      </c>
      <c r="E17" s="285" t="n">
        <f aca="false">'Base Joinville'!AK8*12+'Base Joinville'!AL8*4+'Base Joinville'!AM8*2+'Base Joinville'!AN8</f>
        <v>13018.7924634646</v>
      </c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  <c r="KL17" s="23"/>
      <c r="KM17" s="23"/>
      <c r="KN17" s="23"/>
      <c r="KO17" s="23"/>
      <c r="KP17" s="23"/>
      <c r="KQ17" s="23"/>
      <c r="KR17" s="23"/>
      <c r="KS17" s="23"/>
      <c r="KT17" s="23"/>
      <c r="KU17" s="23"/>
      <c r="KV17" s="23"/>
      <c r="KW17" s="23"/>
      <c r="KX17" s="23"/>
      <c r="KY17" s="23"/>
      <c r="KZ17" s="23"/>
      <c r="LA17" s="23"/>
      <c r="LB17" s="23"/>
      <c r="LC17" s="23"/>
      <c r="LD17" s="23"/>
      <c r="LE17" s="23"/>
      <c r="LF17" s="23"/>
      <c r="LG17" s="23"/>
      <c r="LH17" s="23"/>
      <c r="LI17" s="23"/>
      <c r="LJ17" s="23"/>
      <c r="LK17" s="23"/>
      <c r="LL17" s="23"/>
      <c r="LM17" s="23"/>
      <c r="LN17" s="23"/>
      <c r="LO17" s="23"/>
      <c r="LP17" s="23"/>
      <c r="LQ17" s="23"/>
      <c r="LR17" s="23"/>
      <c r="LS17" s="23"/>
      <c r="LT17" s="23"/>
      <c r="LU17" s="23"/>
      <c r="LV17" s="23"/>
      <c r="LW17" s="23"/>
      <c r="LX17" s="23"/>
      <c r="LY17" s="23"/>
      <c r="LZ17" s="23"/>
      <c r="MA17" s="23"/>
      <c r="MB17" s="23"/>
      <c r="MC17" s="23"/>
      <c r="MD17" s="23"/>
      <c r="ME17" s="23"/>
      <c r="MF17" s="23"/>
      <c r="MG17" s="23"/>
      <c r="MH17" s="23"/>
      <c r="MI17" s="23"/>
      <c r="MJ17" s="23"/>
      <c r="MK17" s="23"/>
      <c r="ML17" s="23"/>
      <c r="MM17" s="23"/>
      <c r="MN17" s="23"/>
      <c r="MO17" s="23"/>
      <c r="MP17" s="23"/>
      <c r="MQ17" s="23"/>
      <c r="MR17" s="23"/>
      <c r="MS17" s="23"/>
      <c r="MT17" s="23"/>
      <c r="MU17" s="23"/>
      <c r="MV17" s="23"/>
      <c r="MW17" s="23"/>
      <c r="MX17" s="23"/>
      <c r="MY17" s="23"/>
      <c r="MZ17" s="23"/>
      <c r="NA17" s="23"/>
      <c r="NB17" s="23"/>
      <c r="NC17" s="23"/>
      <c r="ND17" s="23"/>
      <c r="NE17" s="23"/>
      <c r="NF17" s="23"/>
      <c r="NG17" s="23"/>
      <c r="NH17" s="23"/>
      <c r="NI17" s="23"/>
      <c r="NJ17" s="23"/>
      <c r="NK17" s="23"/>
      <c r="NL17" s="23"/>
      <c r="NM17" s="23"/>
      <c r="NN17" s="23"/>
      <c r="NO17" s="23"/>
      <c r="NP17" s="23"/>
      <c r="NQ17" s="23"/>
      <c r="NR17" s="23"/>
      <c r="NS17" s="23"/>
      <c r="NT17" s="23"/>
      <c r="NU17" s="23"/>
      <c r="NV17" s="23"/>
      <c r="NW17" s="23"/>
      <c r="NX17" s="23"/>
      <c r="NY17" s="23"/>
      <c r="NZ17" s="23"/>
      <c r="OA17" s="23"/>
      <c r="OB17" s="23"/>
      <c r="OC17" s="23"/>
      <c r="OD17" s="23"/>
      <c r="OE17" s="23"/>
      <c r="OF17" s="23"/>
      <c r="OG17" s="23"/>
      <c r="OH17" s="23"/>
      <c r="OI17" s="23"/>
      <c r="OJ17" s="23"/>
      <c r="OK17" s="23"/>
      <c r="OL17" s="23"/>
      <c r="OM17" s="23"/>
      <c r="ON17" s="23"/>
      <c r="OO17" s="23"/>
      <c r="OP17" s="23"/>
      <c r="OQ17" s="23"/>
      <c r="OR17" s="23"/>
      <c r="OS17" s="23"/>
      <c r="OT17" s="23"/>
      <c r="OU17" s="23"/>
      <c r="OV17" s="23"/>
      <c r="OW17" s="23"/>
      <c r="OX17" s="23"/>
      <c r="OY17" s="23"/>
      <c r="OZ17" s="23"/>
      <c r="PA17" s="23"/>
      <c r="PB17" s="23"/>
      <c r="PC17" s="23"/>
      <c r="PD17" s="23"/>
      <c r="PE17" s="23"/>
      <c r="PF17" s="23"/>
      <c r="PG17" s="23"/>
      <c r="PH17" s="23"/>
      <c r="PI17" s="23"/>
      <c r="PJ17" s="23"/>
      <c r="PK17" s="23"/>
      <c r="PL17" s="23"/>
      <c r="PM17" s="23"/>
      <c r="PN17" s="23"/>
      <c r="PO17" s="23"/>
      <c r="PP17" s="23"/>
      <c r="PQ17" s="23"/>
      <c r="PR17" s="23"/>
      <c r="PS17" s="23"/>
      <c r="PT17" s="23"/>
      <c r="PU17" s="23"/>
      <c r="PV17" s="23"/>
      <c r="PW17" s="23"/>
      <c r="PX17" s="23"/>
      <c r="PY17" s="23"/>
      <c r="PZ17" s="23"/>
      <c r="QA17" s="23"/>
      <c r="QB17" s="23"/>
      <c r="QC17" s="23"/>
      <c r="QD17" s="23"/>
      <c r="QE17" s="23"/>
      <c r="QF17" s="23"/>
      <c r="QG17" s="23"/>
      <c r="QH17" s="23"/>
      <c r="QI17" s="23"/>
      <c r="QJ17" s="23"/>
      <c r="QK17" s="23"/>
      <c r="QL17" s="23"/>
      <c r="QM17" s="23"/>
      <c r="QN17" s="23"/>
      <c r="QO17" s="23"/>
      <c r="QP17" s="23"/>
      <c r="QQ17" s="23"/>
      <c r="QR17" s="23"/>
      <c r="QS17" s="23"/>
      <c r="QT17" s="23"/>
      <c r="QU17" s="23"/>
      <c r="QV17" s="23"/>
      <c r="QW17" s="23"/>
      <c r="QX17" s="23"/>
      <c r="QY17" s="23"/>
      <c r="QZ17" s="23"/>
      <c r="RA17" s="23"/>
      <c r="RB17" s="23"/>
      <c r="RC17" s="23"/>
      <c r="RD17" s="23"/>
      <c r="RE17" s="23"/>
      <c r="RF17" s="23"/>
      <c r="RG17" s="23"/>
      <c r="RH17" s="23"/>
      <c r="RI17" s="23"/>
      <c r="RJ17" s="23"/>
      <c r="RK17" s="23"/>
      <c r="RL17" s="23"/>
      <c r="RM17" s="23"/>
      <c r="RN17" s="23"/>
      <c r="RO17" s="23"/>
      <c r="RP17" s="23"/>
      <c r="RQ17" s="23"/>
      <c r="RR17" s="23"/>
      <c r="RS17" s="23"/>
      <c r="RT17" s="23"/>
      <c r="RU17" s="23"/>
      <c r="RV17" s="23"/>
      <c r="RW17" s="23"/>
      <c r="RX17" s="23"/>
      <c r="RY17" s="23"/>
      <c r="RZ17" s="23"/>
      <c r="SA17" s="23"/>
      <c r="SB17" s="23"/>
      <c r="SC17" s="23"/>
      <c r="SD17" s="23"/>
      <c r="SE17" s="23"/>
      <c r="SF17" s="23"/>
      <c r="SG17" s="23"/>
      <c r="SH17" s="23"/>
      <c r="SI17" s="23"/>
      <c r="SJ17" s="23"/>
      <c r="SK17" s="23"/>
      <c r="SL17" s="23"/>
      <c r="SM17" s="23"/>
      <c r="SN17" s="23"/>
      <c r="SO17" s="23"/>
      <c r="SP17" s="23"/>
      <c r="SQ17" s="23"/>
      <c r="SR17" s="23"/>
      <c r="SS17" s="23"/>
      <c r="ST17" s="23"/>
      <c r="SU17" s="23"/>
      <c r="SV17" s="23"/>
      <c r="SW17" s="23"/>
      <c r="SX17" s="23"/>
      <c r="SY17" s="23"/>
      <c r="SZ17" s="23"/>
      <c r="TA17" s="23"/>
      <c r="TB17" s="23"/>
      <c r="TC17" s="23"/>
      <c r="TD17" s="23"/>
      <c r="TE17" s="23"/>
      <c r="TF17" s="23"/>
      <c r="TG17" s="23"/>
      <c r="TH17" s="23"/>
      <c r="TI17" s="23"/>
      <c r="TJ17" s="23"/>
      <c r="TK17" s="23"/>
      <c r="TL17" s="23"/>
      <c r="TM17" s="23"/>
      <c r="TN17" s="23"/>
      <c r="TO17" s="23"/>
      <c r="TP17" s="23"/>
      <c r="TQ17" s="23"/>
      <c r="TR17" s="23"/>
      <c r="TS17" s="23"/>
      <c r="TT17" s="23"/>
      <c r="TU17" s="23"/>
      <c r="TV17" s="23"/>
      <c r="TW17" s="23"/>
      <c r="TX17" s="23"/>
      <c r="TY17" s="23"/>
      <c r="TZ17" s="23"/>
      <c r="UA17" s="23"/>
      <c r="UB17" s="23"/>
      <c r="UC17" s="23"/>
      <c r="UD17" s="23"/>
      <c r="UE17" s="23"/>
      <c r="UF17" s="23"/>
      <c r="UG17" s="23"/>
      <c r="UH17" s="23"/>
      <c r="UI17" s="23"/>
      <c r="UJ17" s="23"/>
      <c r="UK17" s="23"/>
      <c r="UL17" s="23"/>
      <c r="UM17" s="23"/>
      <c r="UN17" s="23"/>
      <c r="UO17" s="23"/>
      <c r="UP17" s="23"/>
      <c r="UQ17" s="23"/>
      <c r="UR17" s="23"/>
      <c r="US17" s="23"/>
      <c r="UT17" s="23"/>
      <c r="UU17" s="23"/>
      <c r="UV17" s="23"/>
      <c r="UW17" s="23"/>
      <c r="UX17" s="23"/>
      <c r="UY17" s="23"/>
      <c r="UZ17" s="23"/>
      <c r="VA17" s="23"/>
      <c r="VB17" s="23"/>
      <c r="VC17" s="23"/>
      <c r="VD17" s="23"/>
      <c r="VE17" s="23"/>
      <c r="VF17" s="23"/>
      <c r="VG17" s="23"/>
      <c r="VH17" s="23"/>
      <c r="VI17" s="23"/>
      <c r="VJ17" s="23"/>
      <c r="VK17" s="23"/>
      <c r="VL17" s="23"/>
      <c r="VM17" s="23"/>
      <c r="VN17" s="23"/>
      <c r="VO17" s="23"/>
      <c r="VP17" s="23"/>
      <c r="VQ17" s="23"/>
      <c r="VR17" s="23"/>
      <c r="VS17" s="23"/>
      <c r="VT17" s="23"/>
      <c r="VU17" s="23"/>
      <c r="VV17" s="23"/>
      <c r="VW17" s="23"/>
      <c r="VX17" s="23"/>
      <c r="VY17" s="23"/>
      <c r="VZ17" s="23"/>
      <c r="WA17" s="23"/>
      <c r="WB17" s="23"/>
      <c r="WC17" s="23"/>
      <c r="WD17" s="23"/>
      <c r="WE17" s="23"/>
      <c r="WF17" s="23"/>
      <c r="WG17" s="23"/>
      <c r="WH17" s="23"/>
      <c r="WI17" s="23"/>
      <c r="WJ17" s="23"/>
      <c r="WK17" s="23"/>
      <c r="WL17" s="23"/>
      <c r="WM17" s="23"/>
      <c r="WN17" s="23"/>
      <c r="WO17" s="23"/>
      <c r="WP17" s="23"/>
      <c r="WQ17" s="23"/>
      <c r="WR17" s="23"/>
      <c r="WS17" s="23"/>
      <c r="WT17" s="23"/>
      <c r="WU17" s="23"/>
      <c r="WV17" s="23"/>
      <c r="WW17" s="23"/>
      <c r="WX17" s="23"/>
      <c r="WY17" s="23"/>
      <c r="WZ17" s="23"/>
      <c r="XA17" s="23"/>
      <c r="XB17" s="23"/>
      <c r="XC17" s="23"/>
      <c r="XD17" s="23"/>
      <c r="XE17" s="23"/>
      <c r="XF17" s="23"/>
      <c r="XG17" s="23"/>
      <c r="XH17" s="23"/>
      <c r="XI17" s="23"/>
      <c r="XJ17" s="23"/>
      <c r="XK17" s="23"/>
      <c r="XL17" s="23"/>
      <c r="XM17" s="23"/>
      <c r="XN17" s="23"/>
      <c r="XO17" s="23"/>
      <c r="XP17" s="23"/>
      <c r="XQ17" s="23"/>
      <c r="XR17" s="23"/>
      <c r="XS17" s="23"/>
      <c r="XT17" s="23"/>
      <c r="XU17" s="23"/>
      <c r="XV17" s="23"/>
      <c r="XW17" s="23"/>
      <c r="XX17" s="23"/>
      <c r="XY17" s="23"/>
      <c r="XZ17" s="23"/>
      <c r="YA17" s="23"/>
      <c r="YB17" s="23"/>
      <c r="YC17" s="23"/>
      <c r="YD17" s="23"/>
      <c r="YE17" s="23"/>
      <c r="YF17" s="23"/>
      <c r="YG17" s="23"/>
      <c r="YH17" s="23"/>
      <c r="YI17" s="23"/>
      <c r="YJ17" s="23"/>
      <c r="YK17" s="23"/>
      <c r="YL17" s="23"/>
      <c r="YM17" s="23"/>
      <c r="YN17" s="23"/>
      <c r="YO17" s="23"/>
      <c r="YP17" s="23"/>
      <c r="YQ17" s="23"/>
      <c r="YR17" s="23"/>
      <c r="YS17" s="23"/>
      <c r="YT17" s="23"/>
      <c r="YU17" s="23"/>
      <c r="YV17" s="23"/>
      <c r="YW17" s="23"/>
      <c r="YX17" s="23"/>
      <c r="YY17" s="23"/>
      <c r="YZ17" s="23"/>
      <c r="ZA17" s="23"/>
      <c r="ZB17" s="23"/>
      <c r="ZC17" s="23"/>
      <c r="ZD17" s="23"/>
      <c r="ZE17" s="23"/>
      <c r="ZF17" s="23"/>
      <c r="ZG17" s="23"/>
      <c r="ZH17" s="23"/>
      <c r="ZI17" s="23"/>
      <c r="ZJ17" s="23"/>
      <c r="ZK17" s="23"/>
      <c r="ZL17" s="23"/>
      <c r="ZM17" s="23"/>
      <c r="ZN17" s="23"/>
      <c r="ZO17" s="23"/>
      <c r="ZP17" s="23"/>
      <c r="ZQ17" s="23"/>
      <c r="ZR17" s="23"/>
      <c r="ZS17" s="23"/>
      <c r="ZT17" s="23"/>
      <c r="ZU17" s="23"/>
      <c r="ZV17" s="23"/>
      <c r="ZW17" s="23"/>
      <c r="ZX17" s="23"/>
      <c r="ZY17" s="23"/>
      <c r="ZZ17" s="23"/>
      <c r="AAA17" s="23"/>
      <c r="AAB17" s="23"/>
      <c r="AAC17" s="23"/>
      <c r="AAD17" s="23"/>
      <c r="AAE17" s="23"/>
      <c r="AAF17" s="23"/>
      <c r="AAG17" s="23"/>
      <c r="AAH17" s="23"/>
      <c r="AAI17" s="23"/>
      <c r="AAJ17" s="23"/>
      <c r="AAK17" s="23"/>
      <c r="AAL17" s="23"/>
      <c r="AAM17" s="23"/>
      <c r="AAN17" s="23"/>
      <c r="AAO17" s="23"/>
      <c r="AAP17" s="23"/>
      <c r="AAQ17" s="23"/>
      <c r="AAR17" s="23"/>
      <c r="AAS17" s="23"/>
      <c r="AAT17" s="23"/>
      <c r="AAU17" s="23"/>
      <c r="AAV17" s="23"/>
      <c r="AAW17" s="23"/>
      <c r="AAX17" s="23"/>
      <c r="AAY17" s="23"/>
      <c r="AAZ17" s="23"/>
      <c r="ABA17" s="23"/>
      <c r="ABB17" s="23"/>
      <c r="ABC17" s="23"/>
      <c r="ABD17" s="23"/>
      <c r="ABE17" s="23"/>
      <c r="ABF17" s="23"/>
      <c r="ABG17" s="23"/>
      <c r="ABH17" s="23"/>
      <c r="ABI17" s="23"/>
      <c r="ABJ17" s="23"/>
      <c r="ABK17" s="23"/>
      <c r="ABL17" s="23"/>
      <c r="ABM17" s="23"/>
      <c r="ABN17" s="23"/>
      <c r="ABO17" s="23"/>
      <c r="ABP17" s="23"/>
      <c r="ABQ17" s="23"/>
      <c r="ABR17" s="23"/>
      <c r="ABS17" s="23"/>
      <c r="ABT17" s="23"/>
      <c r="ABU17" s="23"/>
      <c r="ABV17" s="23"/>
      <c r="ABW17" s="23"/>
      <c r="ABX17" s="23"/>
      <c r="ABY17" s="23"/>
      <c r="ABZ17" s="23"/>
      <c r="ACA17" s="23"/>
      <c r="ACB17" s="23"/>
      <c r="ACC17" s="23"/>
      <c r="ACD17" s="23"/>
      <c r="ACE17" s="23"/>
      <c r="ACF17" s="23"/>
      <c r="ACG17" s="23"/>
      <c r="ACH17" s="23"/>
      <c r="ACI17" s="23"/>
      <c r="ACJ17" s="23"/>
      <c r="ACK17" s="23"/>
      <c r="ACL17" s="23"/>
      <c r="ACM17" s="23"/>
      <c r="ACN17" s="23"/>
      <c r="ACO17" s="23"/>
      <c r="ACP17" s="23"/>
      <c r="ACQ17" s="23"/>
      <c r="ACR17" s="23"/>
      <c r="ACS17" s="23"/>
      <c r="ACT17" s="23"/>
      <c r="ACU17" s="23"/>
      <c r="ACV17" s="23"/>
      <c r="ACW17" s="23"/>
      <c r="ACX17" s="23"/>
      <c r="ACY17" s="23"/>
      <c r="ACZ17" s="23"/>
      <c r="ADA17" s="23"/>
      <c r="ADB17" s="23"/>
      <c r="ADC17" s="23"/>
      <c r="ADD17" s="23"/>
      <c r="ADE17" s="23"/>
      <c r="ADF17" s="23"/>
      <c r="ADG17" s="23"/>
      <c r="ADH17" s="23"/>
      <c r="ADI17" s="23"/>
      <c r="ADJ17" s="23"/>
      <c r="ADK17" s="23"/>
      <c r="ADL17" s="23"/>
      <c r="ADM17" s="23"/>
      <c r="ADN17" s="23"/>
      <c r="ADO17" s="23"/>
      <c r="ADP17" s="23"/>
      <c r="ADQ17" s="23"/>
      <c r="ADR17" s="23"/>
      <c r="ADS17" s="23"/>
      <c r="ADT17" s="23"/>
      <c r="ADU17" s="23"/>
      <c r="ADV17" s="23"/>
      <c r="ADW17" s="23"/>
      <c r="ADX17" s="23"/>
      <c r="ADY17" s="23"/>
      <c r="ADZ17" s="23"/>
      <c r="AEA17" s="23"/>
      <c r="AEB17" s="23"/>
      <c r="AEC17" s="23"/>
      <c r="AED17" s="23"/>
      <c r="AEE17" s="23"/>
      <c r="AEF17" s="23"/>
      <c r="AEG17" s="23"/>
      <c r="AEH17" s="23"/>
      <c r="AEI17" s="23"/>
      <c r="AEJ17" s="23"/>
      <c r="AEK17" s="23"/>
      <c r="AEL17" s="23"/>
      <c r="AEM17" s="23"/>
      <c r="AEN17" s="23"/>
      <c r="AEO17" s="23"/>
      <c r="AEP17" s="23"/>
      <c r="AEQ17" s="23"/>
      <c r="AER17" s="23"/>
      <c r="AES17" s="23"/>
      <c r="AET17" s="23"/>
      <c r="AEU17" s="23"/>
      <c r="AEV17" s="23"/>
      <c r="AEW17" s="23"/>
      <c r="AEX17" s="23"/>
      <c r="AEY17" s="23"/>
      <c r="AEZ17" s="23"/>
      <c r="AFA17" s="23"/>
      <c r="AFB17" s="23"/>
      <c r="AFC17" s="23"/>
      <c r="AFD17" s="23"/>
      <c r="AFE17" s="23"/>
      <c r="AFF17" s="23"/>
      <c r="AFG17" s="23"/>
      <c r="AFH17" s="23"/>
      <c r="AFI17" s="23"/>
      <c r="AFJ17" s="23"/>
      <c r="AFK17" s="23"/>
      <c r="AFL17" s="23"/>
      <c r="AFM17" s="23"/>
      <c r="AFN17" s="23"/>
      <c r="AFO17" s="23"/>
      <c r="AFP17" s="23"/>
      <c r="AFQ17" s="23"/>
      <c r="AFR17" s="23"/>
      <c r="AFS17" s="23"/>
      <c r="AFT17" s="23"/>
      <c r="AFU17" s="23"/>
      <c r="AFV17" s="23"/>
      <c r="AFW17" s="23"/>
      <c r="AFX17" s="23"/>
      <c r="AFY17" s="23"/>
      <c r="AFZ17" s="23"/>
      <c r="AGA17" s="23"/>
      <c r="AGB17" s="23"/>
      <c r="AGC17" s="23"/>
      <c r="AGD17" s="23"/>
      <c r="AGE17" s="23"/>
      <c r="AGF17" s="23"/>
      <c r="AGG17" s="23"/>
      <c r="AGH17" s="23"/>
      <c r="AGI17" s="23"/>
      <c r="AGJ17" s="23"/>
      <c r="AGK17" s="23"/>
      <c r="AGL17" s="23"/>
      <c r="AGM17" s="23"/>
      <c r="AGN17" s="23"/>
      <c r="AGO17" s="23"/>
      <c r="AGP17" s="23"/>
      <c r="AGQ17" s="23"/>
      <c r="AGR17" s="23"/>
      <c r="AGS17" s="23"/>
      <c r="AGT17" s="23"/>
      <c r="AGU17" s="23"/>
      <c r="AGV17" s="23"/>
      <c r="AGW17" s="23"/>
      <c r="AGX17" s="23"/>
      <c r="AGY17" s="23"/>
      <c r="AGZ17" s="23"/>
      <c r="AHA17" s="23"/>
      <c r="AHB17" s="23"/>
      <c r="AHC17" s="23"/>
      <c r="AHD17" s="23"/>
      <c r="AHE17" s="23"/>
      <c r="AHF17" s="23"/>
      <c r="AHG17" s="23"/>
      <c r="AHH17" s="23"/>
      <c r="AHI17" s="23"/>
      <c r="AHJ17" s="23"/>
      <c r="AHK17" s="23"/>
      <c r="AHL17" s="23"/>
      <c r="AHM17" s="23"/>
      <c r="AHN17" s="23"/>
      <c r="AHO17" s="23"/>
      <c r="AHP17" s="23"/>
      <c r="AHQ17" s="23"/>
      <c r="AHR17" s="23"/>
      <c r="AHS17" s="23"/>
      <c r="AHT17" s="23"/>
      <c r="AHU17" s="23"/>
      <c r="AHV17" s="23"/>
      <c r="AHW17" s="23"/>
      <c r="AHX17" s="23"/>
      <c r="AHY17" s="23"/>
      <c r="AHZ17" s="23"/>
      <c r="AIA17" s="23"/>
      <c r="AIB17" s="23"/>
      <c r="AIC17" s="23"/>
      <c r="AID17" s="23"/>
      <c r="AIE17" s="23"/>
      <c r="AIF17" s="23"/>
      <c r="AIG17" s="23"/>
      <c r="AIH17" s="23"/>
      <c r="AII17" s="23"/>
      <c r="AIJ17" s="23"/>
      <c r="AIK17" s="23"/>
      <c r="AIL17" s="23"/>
      <c r="AIM17" s="23"/>
      <c r="AIN17" s="23"/>
      <c r="AIO17" s="23"/>
      <c r="AIP17" s="23"/>
      <c r="AIQ17" s="23"/>
      <c r="AIR17" s="23"/>
      <c r="AIS17" s="23"/>
      <c r="AIT17" s="23"/>
      <c r="AIU17" s="23"/>
      <c r="AIV17" s="23"/>
      <c r="AIW17" s="23"/>
      <c r="AIX17" s="23"/>
      <c r="AIY17" s="23"/>
      <c r="AIZ17" s="23"/>
      <c r="AJA17" s="23"/>
      <c r="AJB17" s="23"/>
      <c r="AJC17" s="23"/>
      <c r="AJD17" s="23"/>
      <c r="AJE17" s="23"/>
      <c r="AJF17" s="23"/>
      <c r="AJG17" s="23"/>
      <c r="AJH17" s="23"/>
      <c r="AJI17" s="23"/>
      <c r="AJJ17" s="23"/>
      <c r="AJK17" s="23"/>
      <c r="AJL17" s="23"/>
      <c r="AJM17" s="23"/>
      <c r="AJN17" s="23"/>
      <c r="AJO17" s="23"/>
      <c r="AJP17" s="23"/>
      <c r="AJQ17" s="23"/>
      <c r="AJR17" s="23"/>
      <c r="AJS17" s="23"/>
      <c r="AJT17" s="23"/>
      <c r="AJU17" s="23"/>
      <c r="AJV17" s="23"/>
      <c r="AJW17" s="23"/>
      <c r="AJX17" s="23"/>
      <c r="AJY17" s="23"/>
      <c r="AJZ17" s="23"/>
      <c r="AKA17" s="23"/>
      <c r="AKB17" s="23"/>
      <c r="AKC17" s="23"/>
      <c r="AKD17" s="23"/>
      <c r="AKE17" s="23"/>
      <c r="AKF17" s="23"/>
      <c r="AKG17" s="23"/>
      <c r="AKH17" s="23"/>
      <c r="AKI17" s="23"/>
      <c r="AKJ17" s="23"/>
      <c r="AKK17" s="23"/>
      <c r="AKL17" s="23"/>
      <c r="AKM17" s="23"/>
      <c r="AKN17" s="23"/>
      <c r="AKO17" s="23"/>
      <c r="AKP17" s="23"/>
      <c r="AKQ17" s="23"/>
      <c r="AKR17" s="23"/>
      <c r="AKS17" s="23"/>
      <c r="AKT17" s="23"/>
      <c r="AKU17" s="23"/>
      <c r="AKV17" s="23"/>
      <c r="AKW17" s="23"/>
      <c r="AKX17" s="23"/>
      <c r="AKY17" s="23"/>
      <c r="AKZ17" s="23"/>
      <c r="ALA17" s="23"/>
      <c r="ALB17" s="23"/>
      <c r="ALC17" s="23"/>
      <c r="ALD17" s="23"/>
      <c r="ALE17" s="23"/>
      <c r="ALF17" s="23"/>
      <c r="ALG17" s="23"/>
      <c r="ALH17" s="23"/>
      <c r="ALI17" s="23"/>
      <c r="ALJ17" s="23"/>
      <c r="ALK17" s="23"/>
      <c r="ALL17" s="23"/>
      <c r="ALM17" s="23"/>
      <c r="ALN17" s="23"/>
      <c r="ALO17" s="23"/>
      <c r="ALP17" s="23"/>
      <c r="ALQ17" s="23"/>
      <c r="ALR17" s="23"/>
      <c r="ALS17" s="23"/>
      <c r="ALT17" s="23"/>
      <c r="ALU17" s="23"/>
      <c r="ALV17" s="23"/>
      <c r="ALW17" s="23"/>
      <c r="ALX17" s="23"/>
      <c r="ALY17" s="23"/>
      <c r="ALZ17" s="23"/>
      <c r="AMA17" s="23"/>
      <c r="AMB17" s="23"/>
      <c r="AMC17" s="23"/>
      <c r="AMD17" s="23"/>
    </row>
    <row r="18" customFormat="false" ht="15" hidden="false" customHeight="true" outlineLevel="0" collapsed="false">
      <c r="A18" s="23"/>
      <c r="B18" s="70" t="s">
        <v>133</v>
      </c>
      <c r="C18" s="284" t="n">
        <f aca="false">VLOOKUP(B18,Unidades!$D$5:$G$24,4,)</f>
        <v>0.02</v>
      </c>
      <c r="D18" s="285" t="n">
        <f aca="false">'Base Joinville'!AD9*12+'Base Joinville'!AE9*4+'Base Joinville'!AF9*2+'Base Joinville'!AG9</f>
        <v>16633.2942810688</v>
      </c>
      <c r="E18" s="285" t="n">
        <f aca="false">'Base Joinville'!AK9*12+'Base Joinville'!AL9*4+'Base Joinville'!AM9*2+'Base Joinville'!AN9</f>
        <v>21135.9270429541</v>
      </c>
      <c r="IO18" s="23"/>
      <c r="IP18" s="32"/>
      <c r="IQ18" s="32"/>
      <c r="IR18" s="32"/>
      <c r="IS18" s="32"/>
      <c r="IT18" s="32"/>
      <c r="IU18" s="32"/>
      <c r="IV18" s="32"/>
      <c r="IW18" s="32"/>
      <c r="IX18" s="32"/>
      <c r="IY18" s="32"/>
      <c r="IZ18" s="32"/>
      <c r="JA18" s="32"/>
      <c r="JB18" s="32"/>
      <c r="JC18" s="32"/>
      <c r="JD18" s="32"/>
      <c r="JE18" s="32"/>
      <c r="JF18" s="32"/>
      <c r="JG18" s="32"/>
      <c r="JH18" s="32"/>
      <c r="JI18" s="32"/>
      <c r="JJ18" s="32"/>
      <c r="JK18" s="32"/>
      <c r="JL18" s="32"/>
      <c r="JM18" s="32"/>
      <c r="JN18" s="32"/>
      <c r="JO18" s="32"/>
      <c r="JP18" s="32"/>
      <c r="JQ18" s="32"/>
      <c r="JR18" s="32"/>
      <c r="JS18" s="32"/>
      <c r="JT18" s="32"/>
      <c r="JU18" s="32"/>
      <c r="JV18" s="32"/>
      <c r="JW18" s="32"/>
      <c r="JX18" s="32"/>
      <c r="JY18" s="32"/>
      <c r="JZ18" s="32"/>
      <c r="KA18" s="32"/>
      <c r="KB18" s="32"/>
      <c r="KC18" s="32"/>
      <c r="KD18" s="32"/>
      <c r="KE18" s="32"/>
      <c r="KF18" s="32"/>
      <c r="KG18" s="32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  <c r="ZQ18" s="32"/>
      <c r="ZR18" s="32"/>
      <c r="ZS18" s="32"/>
      <c r="ZT18" s="32"/>
      <c r="ZU18" s="32"/>
      <c r="ZV18" s="32"/>
      <c r="ZW18" s="32"/>
      <c r="ZX18" s="32"/>
      <c r="ZY18" s="32"/>
      <c r="ZZ18" s="32"/>
      <c r="AAA18" s="32"/>
      <c r="AAB18" s="32"/>
      <c r="AAC18" s="32"/>
      <c r="AAD18" s="32"/>
      <c r="AAE18" s="32"/>
      <c r="AAF18" s="32"/>
      <c r="AAG18" s="32"/>
      <c r="AAH18" s="32"/>
      <c r="AAI18" s="32"/>
      <c r="AAJ18" s="32"/>
      <c r="AAK18" s="32"/>
      <c r="AAL18" s="32"/>
      <c r="AAM18" s="32"/>
      <c r="AAN18" s="32"/>
      <c r="AAO18" s="32"/>
      <c r="AAP18" s="32"/>
      <c r="AAQ18" s="32"/>
      <c r="AAR18" s="32"/>
      <c r="AAS18" s="32"/>
      <c r="AAT18" s="32"/>
      <c r="AAU18" s="32"/>
      <c r="AAV18" s="32"/>
      <c r="AAW18" s="32"/>
      <c r="AAX18" s="32"/>
      <c r="AAY18" s="32"/>
      <c r="AAZ18" s="32"/>
      <c r="ABA18" s="32"/>
      <c r="ABB18" s="32"/>
      <c r="ABC18" s="32"/>
      <c r="ABD18" s="32"/>
      <c r="ABE18" s="32"/>
      <c r="ABF18" s="32"/>
      <c r="ABG18" s="32"/>
      <c r="ABH18" s="32"/>
      <c r="ABI18" s="32"/>
      <c r="ABJ18" s="32"/>
      <c r="ABK18" s="32"/>
      <c r="ABL18" s="32"/>
      <c r="ABM18" s="32"/>
      <c r="ABN18" s="32"/>
      <c r="ABO18" s="32"/>
      <c r="ABP18" s="32"/>
      <c r="ABQ18" s="32"/>
      <c r="ABR18" s="32"/>
      <c r="ABS18" s="32"/>
      <c r="ABT18" s="32"/>
      <c r="ABU18" s="32"/>
      <c r="ABV18" s="32"/>
      <c r="ABW18" s="32"/>
      <c r="ABX18" s="32"/>
      <c r="ABY18" s="32"/>
      <c r="ABZ18" s="32"/>
      <c r="ACA18" s="32"/>
      <c r="ACB18" s="32"/>
      <c r="ACC18" s="32"/>
      <c r="ACD18" s="32"/>
      <c r="ACE18" s="32"/>
      <c r="ACF18" s="32"/>
      <c r="ACG18" s="32"/>
      <c r="ACH18" s="32"/>
      <c r="ACI18" s="32"/>
      <c r="ACJ18" s="32"/>
      <c r="ACK18" s="32"/>
      <c r="ACL18" s="32"/>
      <c r="ACM18" s="32"/>
      <c r="ACN18" s="32"/>
      <c r="ACO18" s="32"/>
      <c r="ACP18" s="32"/>
      <c r="ACQ18" s="32"/>
      <c r="ACR18" s="32"/>
      <c r="ACS18" s="32"/>
      <c r="ACT18" s="32"/>
      <c r="ACU18" s="32"/>
      <c r="ACV18" s="32"/>
      <c r="ACW18" s="32"/>
      <c r="ACX18" s="32"/>
      <c r="ACY18" s="32"/>
      <c r="ACZ18" s="32"/>
      <c r="ADA18" s="32"/>
      <c r="ADB18" s="32"/>
      <c r="ADC18" s="32"/>
      <c r="ADD18" s="32"/>
      <c r="ADE18" s="32"/>
      <c r="ADF18" s="32"/>
      <c r="ADG18" s="32"/>
      <c r="ADH18" s="32"/>
      <c r="ADI18" s="32"/>
      <c r="ADJ18" s="32"/>
      <c r="ADK18" s="32"/>
      <c r="ADL18" s="32"/>
      <c r="ADM18" s="32"/>
      <c r="ADN18" s="32"/>
      <c r="ADO18" s="32"/>
      <c r="ADP18" s="32"/>
      <c r="ADQ18" s="32"/>
      <c r="ADR18" s="32"/>
      <c r="ADS18" s="32"/>
      <c r="ADT18" s="32"/>
      <c r="ADU18" s="32"/>
      <c r="ADV18" s="32"/>
      <c r="ADW18" s="32"/>
      <c r="ADX18" s="32"/>
      <c r="ADY18" s="32"/>
      <c r="ADZ18" s="32"/>
      <c r="AEA18" s="32"/>
      <c r="AEB18" s="32"/>
      <c r="AEC18" s="32"/>
      <c r="AED18" s="32"/>
      <c r="AEE18" s="32"/>
      <c r="AEF18" s="32"/>
      <c r="AEG18" s="32"/>
      <c r="AEH18" s="32"/>
      <c r="AEI18" s="32"/>
      <c r="AEJ18" s="32"/>
      <c r="AEK18" s="32"/>
      <c r="AEL18" s="32"/>
      <c r="AEM18" s="32"/>
      <c r="AEN18" s="32"/>
      <c r="AEO18" s="32"/>
      <c r="AEP18" s="32"/>
      <c r="AEQ18" s="32"/>
      <c r="AER18" s="32"/>
      <c r="AES18" s="32"/>
      <c r="AET18" s="32"/>
      <c r="AEU18" s="32"/>
      <c r="AEV18" s="32"/>
      <c r="AEW18" s="32"/>
      <c r="AEX18" s="32"/>
      <c r="AEY18" s="32"/>
      <c r="AEZ18" s="32"/>
      <c r="AFA18" s="32"/>
      <c r="AFB18" s="32"/>
      <c r="AFC18" s="32"/>
      <c r="AFD18" s="32"/>
      <c r="AFE18" s="32"/>
      <c r="AFF18" s="32"/>
      <c r="AFG18" s="32"/>
      <c r="AFH18" s="32"/>
      <c r="AFI18" s="32"/>
      <c r="AFJ18" s="32"/>
      <c r="AFK18" s="32"/>
      <c r="AFL18" s="32"/>
      <c r="AFM18" s="32"/>
      <c r="AFN18" s="32"/>
      <c r="AFO18" s="32"/>
      <c r="AFP18" s="32"/>
      <c r="AFQ18" s="32"/>
      <c r="AFR18" s="32"/>
      <c r="AFS18" s="32"/>
      <c r="AFT18" s="32"/>
      <c r="AFU18" s="32"/>
      <c r="AFV18" s="32"/>
      <c r="AFW18" s="32"/>
      <c r="AFX18" s="32"/>
      <c r="AFY18" s="32"/>
      <c r="AFZ18" s="32"/>
      <c r="AGA18" s="32"/>
      <c r="AGB18" s="32"/>
      <c r="AGC18" s="32"/>
      <c r="AGD18" s="32"/>
      <c r="AGE18" s="32"/>
      <c r="AGF18" s="32"/>
      <c r="AGG18" s="32"/>
      <c r="AGH18" s="32"/>
      <c r="AGI18" s="32"/>
      <c r="AGJ18" s="32"/>
      <c r="AGK18" s="32"/>
      <c r="AGL18" s="32"/>
      <c r="AGM18" s="32"/>
      <c r="AGN18" s="32"/>
      <c r="AGO18" s="32"/>
      <c r="AGP18" s="32"/>
      <c r="AGQ18" s="32"/>
      <c r="AGR18" s="32"/>
      <c r="AGS18" s="32"/>
      <c r="AGT18" s="32"/>
      <c r="AGU18" s="32"/>
      <c r="AGV18" s="32"/>
      <c r="AGW18" s="32"/>
      <c r="AGX18" s="32"/>
      <c r="AGY18" s="32"/>
      <c r="AGZ18" s="32"/>
      <c r="AHA18" s="32"/>
      <c r="AHB18" s="32"/>
      <c r="AHC18" s="32"/>
      <c r="AHD18" s="32"/>
      <c r="AHE18" s="32"/>
      <c r="AHF18" s="32"/>
      <c r="AHG18" s="32"/>
      <c r="AHH18" s="32"/>
      <c r="AHI18" s="32"/>
      <c r="AHJ18" s="32"/>
      <c r="AHK18" s="32"/>
      <c r="AHL18" s="32"/>
      <c r="AHM18" s="32"/>
      <c r="AHN18" s="32"/>
      <c r="AHO18" s="32"/>
      <c r="AHP18" s="32"/>
      <c r="AHQ18" s="32"/>
      <c r="AHR18" s="32"/>
      <c r="AHS18" s="32"/>
      <c r="AHT18" s="32"/>
      <c r="AHU18" s="32"/>
      <c r="AHV18" s="32"/>
      <c r="AHW18" s="32"/>
      <c r="AHX18" s="32"/>
      <c r="AHY18" s="32"/>
      <c r="AHZ18" s="32"/>
      <c r="AIA18" s="32"/>
      <c r="AIB18" s="32"/>
      <c r="AIC18" s="32"/>
      <c r="AID18" s="32"/>
      <c r="AIE18" s="32"/>
      <c r="AIF18" s="32"/>
      <c r="AIG18" s="32"/>
      <c r="AIH18" s="32"/>
      <c r="AII18" s="32"/>
      <c r="AIJ18" s="32"/>
      <c r="AIK18" s="32"/>
      <c r="AIL18" s="32"/>
      <c r="AIM18" s="32"/>
      <c r="AIN18" s="32"/>
      <c r="AIO18" s="32"/>
      <c r="AIP18" s="32"/>
      <c r="AIQ18" s="32"/>
      <c r="AIR18" s="32"/>
      <c r="AIS18" s="32"/>
      <c r="AIT18" s="32"/>
      <c r="AIU18" s="32"/>
      <c r="AIV18" s="32"/>
      <c r="AIW18" s="32"/>
      <c r="AIX18" s="32"/>
      <c r="AIY18" s="32"/>
      <c r="AIZ18" s="32"/>
      <c r="AJA18" s="32"/>
      <c r="AJB18" s="32"/>
      <c r="AJC18" s="32"/>
      <c r="AJD18" s="32"/>
      <c r="AJE18" s="32"/>
      <c r="AJF18" s="32"/>
      <c r="AJG18" s="32"/>
      <c r="AJH18" s="32"/>
      <c r="AJI18" s="32"/>
      <c r="AJJ18" s="32"/>
      <c r="AJK18" s="32"/>
      <c r="AJL18" s="32"/>
      <c r="AJM18" s="32"/>
      <c r="AJN18" s="32"/>
      <c r="AJO18" s="32"/>
      <c r="AJP18" s="32"/>
      <c r="AJQ18" s="32"/>
      <c r="AJR18" s="32"/>
      <c r="AJS18" s="32"/>
      <c r="AJT18" s="32"/>
      <c r="AJU18" s="32"/>
      <c r="AJV18" s="32"/>
      <c r="AJW18" s="32"/>
      <c r="AJX18" s="32"/>
      <c r="AJY18" s="32"/>
      <c r="AJZ18" s="32"/>
      <c r="AKA18" s="32"/>
      <c r="AKB18" s="32"/>
      <c r="AKC18" s="32"/>
      <c r="AKD18" s="32"/>
      <c r="AKE18" s="32"/>
      <c r="AKF18" s="32"/>
      <c r="AKG18" s="32"/>
      <c r="AKH18" s="32"/>
      <c r="AKI18" s="32"/>
      <c r="AKJ18" s="32"/>
      <c r="AKK18" s="32"/>
      <c r="AKL18" s="32"/>
      <c r="AKM18" s="32"/>
      <c r="AKN18" s="32"/>
      <c r="AKO18" s="32"/>
      <c r="AKP18" s="32"/>
      <c r="AKQ18" s="32"/>
      <c r="AKR18" s="32"/>
      <c r="AKS18" s="32"/>
      <c r="AKT18" s="32"/>
      <c r="AKU18" s="32"/>
      <c r="AKV18" s="32"/>
      <c r="AKW18" s="32"/>
      <c r="AKX18" s="32"/>
      <c r="AKY18" s="32"/>
      <c r="AKZ18" s="32"/>
      <c r="ALA18" s="32"/>
      <c r="ALB18" s="32"/>
      <c r="ALC18" s="32"/>
      <c r="ALD18" s="32"/>
      <c r="ALE18" s="32"/>
      <c r="ALF18" s="32"/>
      <c r="ALG18" s="32"/>
      <c r="ALH18" s="32"/>
      <c r="ALI18" s="32"/>
      <c r="ALJ18" s="32"/>
      <c r="ALK18" s="32"/>
      <c r="ALL18" s="32"/>
      <c r="ALM18" s="32"/>
      <c r="ALN18" s="32"/>
      <c r="ALO18" s="32"/>
      <c r="ALP18" s="32"/>
      <c r="ALQ18" s="32"/>
      <c r="ALR18" s="32"/>
      <c r="ALS18" s="32"/>
      <c r="ALT18" s="32"/>
      <c r="ALU18" s="32"/>
      <c r="ALV18" s="32"/>
      <c r="ALW18" s="32"/>
      <c r="ALX18" s="32"/>
      <c r="ALY18" s="32"/>
      <c r="ALZ18" s="32"/>
      <c r="AMA18" s="32"/>
      <c r="AMB18" s="32"/>
      <c r="AMC18" s="32"/>
      <c r="AMD18" s="32"/>
    </row>
    <row r="19" customFormat="false" ht="15" hidden="false" customHeight="true" outlineLevel="0" collapsed="false">
      <c r="A19" s="23"/>
      <c r="B19" s="70" t="s">
        <v>134</v>
      </c>
      <c r="C19" s="284" t="n">
        <f aca="false">VLOOKUP(B19,Unidades!$D$5:$G$24,4,)</f>
        <v>0.02</v>
      </c>
      <c r="D19" s="285" t="n">
        <f aca="false">'Base Joinville'!AD10*12+'Base Joinville'!AE10*4+'Base Joinville'!AF10*2+'Base Joinville'!AG10</f>
        <v>15139.1356113897</v>
      </c>
      <c r="E19" s="285" t="n">
        <f aca="false">'Base Joinville'!AK10*12+'Base Joinville'!AL10*4+'Base Joinville'!AM10*2+'Base Joinville'!AN10</f>
        <v>19237.299621393</v>
      </c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  <c r="KL19" s="23"/>
      <c r="KM19" s="23"/>
      <c r="KN19" s="23"/>
      <c r="KO19" s="23"/>
      <c r="KP19" s="23"/>
      <c r="KQ19" s="23"/>
      <c r="KR19" s="23"/>
      <c r="KS19" s="23"/>
      <c r="KT19" s="23"/>
      <c r="KU19" s="23"/>
      <c r="KV19" s="23"/>
      <c r="KW19" s="23"/>
      <c r="KX19" s="23"/>
      <c r="KY19" s="23"/>
      <c r="KZ19" s="23"/>
      <c r="LA19" s="23"/>
      <c r="LB19" s="23"/>
      <c r="LC19" s="23"/>
      <c r="LD19" s="23"/>
      <c r="LE19" s="23"/>
      <c r="LF19" s="23"/>
      <c r="LG19" s="23"/>
      <c r="LH19" s="23"/>
      <c r="LI19" s="23"/>
      <c r="LJ19" s="23"/>
      <c r="LK19" s="23"/>
      <c r="LL19" s="23"/>
      <c r="LM19" s="23"/>
      <c r="LN19" s="23"/>
      <c r="LO19" s="23"/>
      <c r="LP19" s="23"/>
      <c r="LQ19" s="23"/>
      <c r="LR19" s="23"/>
      <c r="LS19" s="23"/>
      <c r="LT19" s="23"/>
      <c r="LU19" s="23"/>
      <c r="LV19" s="23"/>
      <c r="LW19" s="23"/>
      <c r="LX19" s="23"/>
      <c r="LY19" s="23"/>
      <c r="LZ19" s="23"/>
      <c r="MA19" s="23"/>
      <c r="MB19" s="23"/>
      <c r="MC19" s="23"/>
      <c r="MD19" s="23"/>
      <c r="ME19" s="23"/>
      <c r="MF19" s="23"/>
      <c r="MG19" s="23"/>
      <c r="MH19" s="23"/>
      <c r="MI19" s="23"/>
      <c r="MJ19" s="23"/>
      <c r="MK19" s="23"/>
      <c r="ML19" s="23"/>
      <c r="MM19" s="23"/>
      <c r="MN19" s="23"/>
      <c r="MO19" s="23"/>
      <c r="MP19" s="23"/>
      <c r="MQ19" s="23"/>
      <c r="MR19" s="23"/>
      <c r="MS19" s="23"/>
      <c r="MT19" s="23"/>
      <c r="MU19" s="23"/>
      <c r="MV19" s="23"/>
      <c r="MW19" s="23"/>
      <c r="MX19" s="23"/>
      <c r="MY19" s="23"/>
      <c r="MZ19" s="23"/>
      <c r="NA19" s="23"/>
      <c r="NB19" s="23"/>
      <c r="NC19" s="23"/>
      <c r="ND19" s="23"/>
      <c r="NE19" s="23"/>
      <c r="NF19" s="23"/>
      <c r="NG19" s="23"/>
      <c r="NH19" s="23"/>
      <c r="NI19" s="23"/>
      <c r="NJ19" s="23"/>
      <c r="NK19" s="23"/>
      <c r="NL19" s="23"/>
      <c r="NM19" s="23"/>
      <c r="NN19" s="23"/>
      <c r="NO19" s="23"/>
      <c r="NP19" s="23"/>
      <c r="NQ19" s="23"/>
      <c r="NR19" s="23"/>
      <c r="NS19" s="23"/>
      <c r="NT19" s="23"/>
      <c r="NU19" s="23"/>
      <c r="NV19" s="23"/>
      <c r="NW19" s="23"/>
      <c r="NX19" s="23"/>
      <c r="NY19" s="23"/>
      <c r="NZ19" s="23"/>
      <c r="OA19" s="23"/>
      <c r="OB19" s="23"/>
      <c r="OC19" s="23"/>
      <c r="OD19" s="23"/>
      <c r="OE19" s="23"/>
      <c r="OF19" s="23"/>
      <c r="OG19" s="23"/>
      <c r="OH19" s="23"/>
      <c r="OI19" s="23"/>
      <c r="OJ19" s="23"/>
      <c r="OK19" s="23"/>
      <c r="OL19" s="23"/>
      <c r="OM19" s="23"/>
      <c r="ON19" s="23"/>
      <c r="OO19" s="23"/>
      <c r="OP19" s="23"/>
      <c r="OQ19" s="23"/>
      <c r="OR19" s="23"/>
      <c r="OS19" s="23"/>
      <c r="OT19" s="23"/>
      <c r="OU19" s="23"/>
      <c r="OV19" s="23"/>
      <c r="OW19" s="23"/>
      <c r="OX19" s="23"/>
      <c r="OY19" s="23"/>
      <c r="OZ19" s="23"/>
      <c r="PA19" s="23"/>
      <c r="PB19" s="23"/>
      <c r="PC19" s="23"/>
      <c r="PD19" s="23"/>
      <c r="PE19" s="23"/>
      <c r="PF19" s="23"/>
      <c r="PG19" s="23"/>
      <c r="PH19" s="23"/>
      <c r="PI19" s="23"/>
      <c r="PJ19" s="23"/>
      <c r="PK19" s="23"/>
      <c r="PL19" s="23"/>
      <c r="PM19" s="23"/>
      <c r="PN19" s="23"/>
      <c r="PO19" s="23"/>
      <c r="PP19" s="23"/>
      <c r="PQ19" s="23"/>
      <c r="PR19" s="23"/>
      <c r="PS19" s="23"/>
      <c r="PT19" s="23"/>
      <c r="PU19" s="23"/>
      <c r="PV19" s="23"/>
      <c r="PW19" s="23"/>
      <c r="PX19" s="23"/>
      <c r="PY19" s="23"/>
      <c r="PZ19" s="23"/>
      <c r="QA19" s="23"/>
      <c r="QB19" s="23"/>
      <c r="QC19" s="23"/>
      <c r="QD19" s="23"/>
      <c r="QE19" s="23"/>
      <c r="QF19" s="23"/>
      <c r="QG19" s="23"/>
      <c r="QH19" s="23"/>
      <c r="QI19" s="23"/>
      <c r="QJ19" s="23"/>
      <c r="QK19" s="23"/>
      <c r="QL19" s="23"/>
      <c r="QM19" s="23"/>
      <c r="QN19" s="23"/>
      <c r="QO19" s="23"/>
      <c r="QP19" s="23"/>
      <c r="QQ19" s="23"/>
      <c r="QR19" s="23"/>
      <c r="QS19" s="23"/>
      <c r="QT19" s="23"/>
      <c r="QU19" s="23"/>
      <c r="QV19" s="23"/>
      <c r="QW19" s="23"/>
      <c r="QX19" s="23"/>
      <c r="QY19" s="23"/>
      <c r="QZ19" s="23"/>
      <c r="RA19" s="23"/>
      <c r="RB19" s="23"/>
      <c r="RC19" s="23"/>
      <c r="RD19" s="23"/>
      <c r="RE19" s="23"/>
      <c r="RF19" s="23"/>
      <c r="RG19" s="23"/>
      <c r="RH19" s="23"/>
      <c r="RI19" s="23"/>
      <c r="RJ19" s="23"/>
      <c r="RK19" s="23"/>
      <c r="RL19" s="23"/>
      <c r="RM19" s="23"/>
      <c r="RN19" s="23"/>
      <c r="RO19" s="23"/>
      <c r="RP19" s="23"/>
      <c r="RQ19" s="23"/>
      <c r="RR19" s="23"/>
      <c r="RS19" s="23"/>
      <c r="RT19" s="23"/>
      <c r="RU19" s="23"/>
      <c r="RV19" s="23"/>
      <c r="RW19" s="23"/>
      <c r="RX19" s="23"/>
      <c r="RY19" s="23"/>
      <c r="RZ19" s="23"/>
      <c r="SA19" s="23"/>
      <c r="SB19" s="23"/>
      <c r="SC19" s="23"/>
      <c r="SD19" s="23"/>
      <c r="SE19" s="23"/>
      <c r="SF19" s="23"/>
      <c r="SG19" s="23"/>
      <c r="SH19" s="23"/>
      <c r="SI19" s="23"/>
      <c r="SJ19" s="23"/>
      <c r="SK19" s="23"/>
      <c r="SL19" s="23"/>
      <c r="SM19" s="23"/>
      <c r="SN19" s="23"/>
      <c r="SO19" s="23"/>
      <c r="SP19" s="23"/>
      <c r="SQ19" s="23"/>
      <c r="SR19" s="23"/>
      <c r="SS19" s="23"/>
      <c r="ST19" s="23"/>
      <c r="SU19" s="23"/>
      <c r="SV19" s="23"/>
      <c r="SW19" s="23"/>
      <c r="SX19" s="23"/>
      <c r="SY19" s="23"/>
      <c r="SZ19" s="23"/>
      <c r="TA19" s="23"/>
      <c r="TB19" s="23"/>
      <c r="TC19" s="23"/>
      <c r="TD19" s="23"/>
      <c r="TE19" s="23"/>
      <c r="TF19" s="23"/>
      <c r="TG19" s="23"/>
      <c r="TH19" s="23"/>
      <c r="TI19" s="23"/>
      <c r="TJ19" s="23"/>
      <c r="TK19" s="23"/>
      <c r="TL19" s="23"/>
      <c r="TM19" s="23"/>
      <c r="TN19" s="23"/>
      <c r="TO19" s="23"/>
      <c r="TP19" s="23"/>
      <c r="TQ19" s="23"/>
      <c r="TR19" s="23"/>
      <c r="TS19" s="23"/>
      <c r="TT19" s="23"/>
      <c r="TU19" s="23"/>
      <c r="TV19" s="23"/>
      <c r="TW19" s="23"/>
      <c r="TX19" s="23"/>
      <c r="TY19" s="23"/>
      <c r="TZ19" s="23"/>
      <c r="UA19" s="23"/>
      <c r="UB19" s="23"/>
      <c r="UC19" s="23"/>
      <c r="UD19" s="23"/>
      <c r="UE19" s="23"/>
      <c r="UF19" s="23"/>
      <c r="UG19" s="23"/>
      <c r="UH19" s="23"/>
      <c r="UI19" s="23"/>
      <c r="UJ19" s="23"/>
      <c r="UK19" s="23"/>
      <c r="UL19" s="23"/>
      <c r="UM19" s="23"/>
      <c r="UN19" s="23"/>
      <c r="UO19" s="23"/>
      <c r="UP19" s="23"/>
      <c r="UQ19" s="23"/>
      <c r="UR19" s="23"/>
      <c r="US19" s="23"/>
      <c r="UT19" s="23"/>
      <c r="UU19" s="23"/>
      <c r="UV19" s="23"/>
      <c r="UW19" s="23"/>
      <c r="UX19" s="23"/>
      <c r="UY19" s="23"/>
      <c r="UZ19" s="23"/>
      <c r="VA19" s="23"/>
      <c r="VB19" s="23"/>
      <c r="VC19" s="23"/>
      <c r="VD19" s="23"/>
      <c r="VE19" s="23"/>
      <c r="VF19" s="23"/>
      <c r="VG19" s="23"/>
      <c r="VH19" s="23"/>
      <c r="VI19" s="23"/>
      <c r="VJ19" s="23"/>
      <c r="VK19" s="23"/>
      <c r="VL19" s="23"/>
      <c r="VM19" s="23"/>
      <c r="VN19" s="23"/>
      <c r="VO19" s="23"/>
      <c r="VP19" s="23"/>
      <c r="VQ19" s="23"/>
      <c r="VR19" s="23"/>
      <c r="VS19" s="23"/>
      <c r="VT19" s="23"/>
      <c r="VU19" s="23"/>
      <c r="VV19" s="23"/>
      <c r="VW19" s="23"/>
      <c r="VX19" s="23"/>
      <c r="VY19" s="23"/>
      <c r="VZ19" s="23"/>
      <c r="WA19" s="23"/>
      <c r="WB19" s="23"/>
      <c r="WC19" s="23"/>
      <c r="WD19" s="23"/>
      <c r="WE19" s="23"/>
      <c r="WF19" s="23"/>
      <c r="WG19" s="23"/>
      <c r="WH19" s="23"/>
      <c r="WI19" s="23"/>
      <c r="WJ19" s="23"/>
      <c r="WK19" s="23"/>
      <c r="WL19" s="23"/>
      <c r="WM19" s="23"/>
      <c r="WN19" s="23"/>
      <c r="WO19" s="23"/>
      <c r="WP19" s="23"/>
      <c r="WQ19" s="23"/>
      <c r="WR19" s="23"/>
      <c r="WS19" s="23"/>
      <c r="WT19" s="23"/>
      <c r="WU19" s="23"/>
      <c r="WV19" s="23"/>
      <c r="WW19" s="23"/>
      <c r="WX19" s="23"/>
      <c r="WY19" s="23"/>
      <c r="WZ19" s="23"/>
      <c r="XA19" s="23"/>
      <c r="XB19" s="23"/>
      <c r="XC19" s="23"/>
      <c r="XD19" s="23"/>
      <c r="XE19" s="23"/>
      <c r="XF19" s="23"/>
      <c r="XG19" s="23"/>
      <c r="XH19" s="23"/>
      <c r="XI19" s="23"/>
      <c r="XJ19" s="23"/>
      <c r="XK19" s="23"/>
      <c r="XL19" s="23"/>
      <c r="XM19" s="23"/>
      <c r="XN19" s="23"/>
      <c r="XO19" s="23"/>
      <c r="XP19" s="23"/>
      <c r="XQ19" s="23"/>
      <c r="XR19" s="23"/>
      <c r="XS19" s="23"/>
      <c r="XT19" s="23"/>
      <c r="XU19" s="23"/>
      <c r="XV19" s="23"/>
      <c r="XW19" s="23"/>
      <c r="XX19" s="23"/>
      <c r="XY19" s="23"/>
      <c r="XZ19" s="23"/>
      <c r="YA19" s="23"/>
      <c r="YB19" s="23"/>
      <c r="YC19" s="23"/>
      <c r="YD19" s="23"/>
      <c r="YE19" s="23"/>
      <c r="YF19" s="23"/>
      <c r="YG19" s="23"/>
      <c r="YH19" s="23"/>
      <c r="YI19" s="23"/>
      <c r="YJ19" s="23"/>
      <c r="YK19" s="23"/>
      <c r="YL19" s="23"/>
      <c r="YM19" s="23"/>
      <c r="YN19" s="23"/>
      <c r="YO19" s="23"/>
      <c r="YP19" s="23"/>
      <c r="YQ19" s="23"/>
      <c r="YR19" s="23"/>
      <c r="YS19" s="23"/>
      <c r="YT19" s="23"/>
      <c r="YU19" s="23"/>
      <c r="YV19" s="23"/>
      <c r="YW19" s="23"/>
      <c r="YX19" s="23"/>
      <c r="YY19" s="23"/>
      <c r="YZ19" s="23"/>
      <c r="ZA19" s="23"/>
      <c r="ZB19" s="23"/>
      <c r="ZC19" s="23"/>
      <c r="ZD19" s="23"/>
      <c r="ZE19" s="23"/>
      <c r="ZF19" s="23"/>
      <c r="ZG19" s="23"/>
      <c r="ZH19" s="23"/>
      <c r="ZI19" s="23"/>
      <c r="ZJ19" s="23"/>
      <c r="ZK19" s="23"/>
      <c r="ZL19" s="23"/>
      <c r="ZM19" s="23"/>
      <c r="ZN19" s="23"/>
      <c r="ZO19" s="23"/>
      <c r="ZP19" s="23"/>
      <c r="ZQ19" s="23"/>
      <c r="ZR19" s="23"/>
      <c r="ZS19" s="23"/>
      <c r="ZT19" s="23"/>
      <c r="ZU19" s="23"/>
      <c r="ZV19" s="23"/>
      <c r="ZW19" s="23"/>
      <c r="ZX19" s="23"/>
      <c r="ZY19" s="23"/>
      <c r="ZZ19" s="23"/>
      <c r="AAA19" s="23"/>
      <c r="AAB19" s="23"/>
      <c r="AAC19" s="23"/>
      <c r="AAD19" s="23"/>
      <c r="AAE19" s="23"/>
      <c r="AAF19" s="23"/>
      <c r="AAG19" s="23"/>
      <c r="AAH19" s="23"/>
      <c r="AAI19" s="23"/>
      <c r="AAJ19" s="23"/>
      <c r="AAK19" s="23"/>
      <c r="AAL19" s="23"/>
      <c r="AAM19" s="23"/>
      <c r="AAN19" s="23"/>
      <c r="AAO19" s="23"/>
      <c r="AAP19" s="23"/>
      <c r="AAQ19" s="23"/>
      <c r="AAR19" s="23"/>
      <c r="AAS19" s="23"/>
      <c r="AAT19" s="23"/>
      <c r="AAU19" s="23"/>
      <c r="AAV19" s="23"/>
      <c r="AAW19" s="23"/>
      <c r="AAX19" s="23"/>
      <c r="AAY19" s="23"/>
      <c r="AAZ19" s="23"/>
      <c r="ABA19" s="23"/>
      <c r="ABB19" s="23"/>
      <c r="ABC19" s="23"/>
      <c r="ABD19" s="23"/>
      <c r="ABE19" s="23"/>
      <c r="ABF19" s="23"/>
      <c r="ABG19" s="23"/>
      <c r="ABH19" s="23"/>
      <c r="ABI19" s="23"/>
      <c r="ABJ19" s="23"/>
      <c r="ABK19" s="23"/>
      <c r="ABL19" s="23"/>
      <c r="ABM19" s="23"/>
      <c r="ABN19" s="23"/>
      <c r="ABO19" s="23"/>
      <c r="ABP19" s="23"/>
      <c r="ABQ19" s="23"/>
      <c r="ABR19" s="23"/>
      <c r="ABS19" s="23"/>
      <c r="ABT19" s="23"/>
      <c r="ABU19" s="23"/>
      <c r="ABV19" s="23"/>
      <c r="ABW19" s="23"/>
      <c r="ABX19" s="23"/>
      <c r="ABY19" s="23"/>
      <c r="ABZ19" s="23"/>
      <c r="ACA19" s="23"/>
      <c r="ACB19" s="23"/>
      <c r="ACC19" s="23"/>
      <c r="ACD19" s="23"/>
      <c r="ACE19" s="23"/>
      <c r="ACF19" s="23"/>
      <c r="ACG19" s="23"/>
      <c r="ACH19" s="23"/>
      <c r="ACI19" s="23"/>
      <c r="ACJ19" s="23"/>
      <c r="ACK19" s="23"/>
      <c r="ACL19" s="23"/>
      <c r="ACM19" s="23"/>
      <c r="ACN19" s="23"/>
      <c r="ACO19" s="23"/>
      <c r="ACP19" s="23"/>
      <c r="ACQ19" s="23"/>
      <c r="ACR19" s="23"/>
      <c r="ACS19" s="23"/>
      <c r="ACT19" s="23"/>
      <c r="ACU19" s="23"/>
      <c r="ACV19" s="23"/>
      <c r="ACW19" s="23"/>
      <c r="ACX19" s="23"/>
      <c r="ACY19" s="23"/>
      <c r="ACZ19" s="23"/>
      <c r="ADA19" s="23"/>
      <c r="ADB19" s="23"/>
      <c r="ADC19" s="23"/>
      <c r="ADD19" s="23"/>
      <c r="ADE19" s="23"/>
      <c r="ADF19" s="23"/>
      <c r="ADG19" s="23"/>
      <c r="ADH19" s="23"/>
      <c r="ADI19" s="23"/>
      <c r="ADJ19" s="23"/>
      <c r="ADK19" s="23"/>
      <c r="ADL19" s="23"/>
      <c r="ADM19" s="23"/>
      <c r="ADN19" s="23"/>
      <c r="ADO19" s="23"/>
      <c r="ADP19" s="23"/>
      <c r="ADQ19" s="23"/>
      <c r="ADR19" s="23"/>
      <c r="ADS19" s="23"/>
      <c r="ADT19" s="23"/>
      <c r="ADU19" s="23"/>
      <c r="ADV19" s="23"/>
      <c r="ADW19" s="23"/>
      <c r="ADX19" s="23"/>
      <c r="ADY19" s="23"/>
      <c r="ADZ19" s="23"/>
      <c r="AEA19" s="23"/>
      <c r="AEB19" s="23"/>
      <c r="AEC19" s="23"/>
      <c r="AED19" s="23"/>
      <c r="AEE19" s="23"/>
      <c r="AEF19" s="23"/>
      <c r="AEG19" s="23"/>
      <c r="AEH19" s="23"/>
      <c r="AEI19" s="23"/>
      <c r="AEJ19" s="23"/>
      <c r="AEK19" s="23"/>
      <c r="AEL19" s="23"/>
      <c r="AEM19" s="23"/>
      <c r="AEN19" s="23"/>
      <c r="AEO19" s="23"/>
      <c r="AEP19" s="23"/>
      <c r="AEQ19" s="23"/>
      <c r="AER19" s="23"/>
      <c r="AES19" s="23"/>
      <c r="AET19" s="23"/>
      <c r="AEU19" s="23"/>
      <c r="AEV19" s="23"/>
      <c r="AEW19" s="23"/>
      <c r="AEX19" s="23"/>
      <c r="AEY19" s="23"/>
      <c r="AEZ19" s="23"/>
      <c r="AFA19" s="23"/>
      <c r="AFB19" s="23"/>
      <c r="AFC19" s="23"/>
      <c r="AFD19" s="23"/>
      <c r="AFE19" s="23"/>
      <c r="AFF19" s="23"/>
      <c r="AFG19" s="23"/>
      <c r="AFH19" s="23"/>
      <c r="AFI19" s="23"/>
      <c r="AFJ19" s="23"/>
      <c r="AFK19" s="23"/>
      <c r="AFL19" s="23"/>
      <c r="AFM19" s="23"/>
      <c r="AFN19" s="23"/>
      <c r="AFO19" s="23"/>
      <c r="AFP19" s="23"/>
      <c r="AFQ19" s="23"/>
      <c r="AFR19" s="23"/>
      <c r="AFS19" s="23"/>
      <c r="AFT19" s="23"/>
      <c r="AFU19" s="23"/>
      <c r="AFV19" s="23"/>
      <c r="AFW19" s="23"/>
      <c r="AFX19" s="23"/>
      <c r="AFY19" s="23"/>
      <c r="AFZ19" s="23"/>
      <c r="AGA19" s="23"/>
      <c r="AGB19" s="23"/>
      <c r="AGC19" s="23"/>
      <c r="AGD19" s="23"/>
      <c r="AGE19" s="23"/>
      <c r="AGF19" s="23"/>
      <c r="AGG19" s="23"/>
      <c r="AGH19" s="23"/>
      <c r="AGI19" s="23"/>
      <c r="AGJ19" s="23"/>
      <c r="AGK19" s="23"/>
      <c r="AGL19" s="23"/>
      <c r="AGM19" s="23"/>
      <c r="AGN19" s="23"/>
      <c r="AGO19" s="23"/>
      <c r="AGP19" s="23"/>
      <c r="AGQ19" s="23"/>
      <c r="AGR19" s="23"/>
      <c r="AGS19" s="23"/>
      <c r="AGT19" s="23"/>
      <c r="AGU19" s="23"/>
      <c r="AGV19" s="23"/>
      <c r="AGW19" s="23"/>
      <c r="AGX19" s="23"/>
      <c r="AGY19" s="23"/>
      <c r="AGZ19" s="23"/>
      <c r="AHA19" s="23"/>
      <c r="AHB19" s="23"/>
      <c r="AHC19" s="23"/>
      <c r="AHD19" s="23"/>
      <c r="AHE19" s="23"/>
      <c r="AHF19" s="23"/>
      <c r="AHG19" s="23"/>
      <c r="AHH19" s="23"/>
      <c r="AHI19" s="23"/>
      <c r="AHJ19" s="23"/>
      <c r="AHK19" s="23"/>
      <c r="AHL19" s="23"/>
      <c r="AHM19" s="23"/>
      <c r="AHN19" s="23"/>
      <c r="AHO19" s="23"/>
      <c r="AHP19" s="23"/>
      <c r="AHQ19" s="23"/>
      <c r="AHR19" s="23"/>
      <c r="AHS19" s="23"/>
      <c r="AHT19" s="23"/>
      <c r="AHU19" s="23"/>
      <c r="AHV19" s="23"/>
      <c r="AHW19" s="23"/>
      <c r="AHX19" s="23"/>
      <c r="AHY19" s="23"/>
      <c r="AHZ19" s="23"/>
      <c r="AIA19" s="23"/>
      <c r="AIB19" s="23"/>
      <c r="AIC19" s="23"/>
      <c r="AID19" s="23"/>
      <c r="AIE19" s="23"/>
      <c r="AIF19" s="23"/>
      <c r="AIG19" s="23"/>
      <c r="AIH19" s="23"/>
      <c r="AII19" s="23"/>
      <c r="AIJ19" s="23"/>
      <c r="AIK19" s="23"/>
      <c r="AIL19" s="23"/>
      <c r="AIM19" s="23"/>
      <c r="AIN19" s="23"/>
      <c r="AIO19" s="23"/>
      <c r="AIP19" s="23"/>
      <c r="AIQ19" s="23"/>
      <c r="AIR19" s="23"/>
      <c r="AIS19" s="23"/>
      <c r="AIT19" s="23"/>
      <c r="AIU19" s="23"/>
      <c r="AIV19" s="23"/>
      <c r="AIW19" s="23"/>
      <c r="AIX19" s="23"/>
      <c r="AIY19" s="23"/>
      <c r="AIZ19" s="23"/>
      <c r="AJA19" s="23"/>
      <c r="AJB19" s="23"/>
      <c r="AJC19" s="23"/>
      <c r="AJD19" s="23"/>
      <c r="AJE19" s="23"/>
      <c r="AJF19" s="23"/>
      <c r="AJG19" s="23"/>
      <c r="AJH19" s="23"/>
      <c r="AJI19" s="23"/>
      <c r="AJJ19" s="23"/>
      <c r="AJK19" s="23"/>
      <c r="AJL19" s="23"/>
      <c r="AJM19" s="23"/>
      <c r="AJN19" s="23"/>
      <c r="AJO19" s="23"/>
      <c r="AJP19" s="23"/>
      <c r="AJQ19" s="23"/>
      <c r="AJR19" s="23"/>
      <c r="AJS19" s="23"/>
      <c r="AJT19" s="23"/>
      <c r="AJU19" s="23"/>
      <c r="AJV19" s="23"/>
      <c r="AJW19" s="23"/>
      <c r="AJX19" s="23"/>
      <c r="AJY19" s="23"/>
      <c r="AJZ19" s="23"/>
      <c r="AKA19" s="23"/>
      <c r="AKB19" s="23"/>
      <c r="AKC19" s="23"/>
      <c r="AKD19" s="23"/>
      <c r="AKE19" s="23"/>
      <c r="AKF19" s="23"/>
      <c r="AKG19" s="23"/>
      <c r="AKH19" s="23"/>
      <c r="AKI19" s="23"/>
      <c r="AKJ19" s="23"/>
      <c r="AKK19" s="23"/>
      <c r="AKL19" s="23"/>
      <c r="AKM19" s="23"/>
      <c r="AKN19" s="23"/>
      <c r="AKO19" s="23"/>
      <c r="AKP19" s="23"/>
      <c r="AKQ19" s="23"/>
      <c r="AKR19" s="23"/>
      <c r="AKS19" s="23"/>
      <c r="AKT19" s="23"/>
      <c r="AKU19" s="23"/>
      <c r="AKV19" s="23"/>
      <c r="AKW19" s="23"/>
      <c r="AKX19" s="23"/>
      <c r="AKY19" s="23"/>
      <c r="AKZ19" s="23"/>
      <c r="ALA19" s="23"/>
      <c r="ALB19" s="23"/>
      <c r="ALC19" s="23"/>
      <c r="ALD19" s="23"/>
      <c r="ALE19" s="23"/>
      <c r="ALF19" s="23"/>
      <c r="ALG19" s="23"/>
      <c r="ALH19" s="23"/>
      <c r="ALI19" s="23"/>
      <c r="ALJ19" s="23"/>
      <c r="ALK19" s="23"/>
      <c r="ALL19" s="23"/>
      <c r="ALM19" s="23"/>
      <c r="ALN19" s="23"/>
      <c r="ALO19" s="23"/>
      <c r="ALP19" s="23"/>
      <c r="ALQ19" s="23"/>
      <c r="ALR19" s="23"/>
      <c r="ALS19" s="23"/>
      <c r="ALT19" s="23"/>
      <c r="ALU19" s="23"/>
      <c r="ALV19" s="23"/>
      <c r="ALW19" s="23"/>
      <c r="ALX19" s="23"/>
      <c r="ALY19" s="23"/>
      <c r="ALZ19" s="23"/>
      <c r="AMA19" s="23"/>
      <c r="AMB19" s="23"/>
      <c r="AMC19" s="23"/>
      <c r="AMD19" s="23"/>
    </row>
    <row r="20" customFormat="false" ht="15" hidden="false" customHeight="true" outlineLevel="0" collapsed="false">
      <c r="A20" s="32"/>
      <c r="B20" s="70" t="s">
        <v>135</v>
      </c>
      <c r="C20" s="284" t="n">
        <f aca="false">VLOOKUP(B20,Unidades!$D$5:$G$24,4,)</f>
        <v>0.02</v>
      </c>
      <c r="D20" s="285" t="n">
        <f aca="false">'Base Joinville'!AD11*12+'Base Joinville'!AE11*4+'Base Joinville'!AF11*2+'Base Joinville'!AG11</f>
        <v>12106.0568152696</v>
      </c>
      <c r="E20" s="285" t="n">
        <f aca="false">'Base Joinville'!AK11*12+'Base Joinville'!AL11*4+'Base Joinville'!AM11*2+'Base Joinville'!AN11</f>
        <v>15383.1663951631</v>
      </c>
      <c r="F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</row>
    <row r="21" customFormat="false" ht="15" hidden="false" customHeight="true" outlineLevel="0" collapsed="false">
      <c r="A21" s="23"/>
      <c r="B21" s="70" t="s">
        <v>136</v>
      </c>
      <c r="C21" s="284" t="n">
        <f aca="false">VLOOKUP(B21,Unidades!$D$5:$G$24,4,)</f>
        <v>0.02</v>
      </c>
      <c r="D21" s="285" t="n">
        <f aca="false">'Base Joinville'!AD12*12+'Base Joinville'!AE12*4+'Base Joinville'!AF12*2+'Base Joinville'!AG12</f>
        <v>18214.7895495291</v>
      </c>
      <c r="E21" s="285" t="n">
        <f aca="false">'Base Joinville'!AK12*12+'Base Joinville'!AL12*4+'Base Joinville'!AM12*2+'Base Joinville'!AN12</f>
        <v>23145.5330805866</v>
      </c>
      <c r="G21" s="32"/>
      <c r="H21" s="32"/>
      <c r="I21" s="32"/>
      <c r="J21" s="32"/>
      <c r="K21" s="32"/>
      <c r="L21" s="32"/>
      <c r="M21" s="32"/>
      <c r="IO21" s="23"/>
    </row>
    <row r="22" customFormat="false" ht="15" hidden="false" customHeight="true" outlineLevel="0" collapsed="false">
      <c r="B22" s="70" t="s">
        <v>137</v>
      </c>
      <c r="C22" s="284" t="n">
        <f aca="false">VLOOKUP(B22,Unidades!$D$5:$G$24,4,)</f>
        <v>0.03</v>
      </c>
      <c r="D22" s="285" t="n">
        <f aca="false">'Base Joinville'!AD13*12+'Base Joinville'!AE13*4+'Base Joinville'!AF13*2+'Base Joinville'!AG13</f>
        <v>11583.1315236332</v>
      </c>
      <c r="E22" s="285" t="n">
        <f aca="false">'Base Joinville'!AK13*12+'Base Joinville'!AL13*4+'Base Joinville'!AM13*2+'Base Joinville'!AN13</f>
        <v>14883.1656947163</v>
      </c>
    </row>
    <row r="23" customFormat="false" ht="15" hidden="false" customHeight="true" outlineLevel="0" collapsed="false">
      <c r="B23" s="70" t="s">
        <v>138</v>
      </c>
      <c r="C23" s="284" t="n">
        <f aca="false">VLOOKUP(B23,Unidades!$D$5:$G$24,4,)</f>
        <v>0.02</v>
      </c>
      <c r="D23" s="285" t="n">
        <f aca="false">'Base Joinville'!AD14*12+'Base Joinville'!AE14*4+'Base Joinville'!AF14*2+'Base Joinville'!AG14</f>
        <v>19840.3916403744</v>
      </c>
      <c r="E23" s="285" t="n">
        <f aca="false">'Base Joinville'!AK14*12+'Base Joinville'!AL14*4+'Base Joinville'!AM14*2+'Base Joinville'!AN14</f>
        <v>25211.1856574238</v>
      </c>
    </row>
    <row r="24" customFormat="false" ht="15" hidden="false" customHeight="true" outlineLevel="0" collapsed="false">
      <c r="B24" s="70" t="s">
        <v>139</v>
      </c>
      <c r="C24" s="284" t="n">
        <f aca="false">VLOOKUP(B24,Unidades!$D$5:$G$24,4,)</f>
        <v>0.02</v>
      </c>
      <c r="D24" s="285" t="n">
        <f aca="false">'Base Joinville'!AD15*12+'Base Joinville'!AE15*4+'Base Joinville'!AF15*2+'Base Joinville'!AG15</f>
        <v>12566.3265631304</v>
      </c>
      <c r="E24" s="285" t="n">
        <f aca="false">'Base Joinville'!AK15*12+'Base Joinville'!AL15*4+'Base Joinville'!AM15*2+'Base Joinville'!AN15</f>
        <v>15968.0311637699</v>
      </c>
    </row>
    <row r="25" customFormat="false" ht="15" hidden="false" customHeight="false" outlineLevel="0" collapsed="false">
      <c r="B25" s="281" t="s">
        <v>98</v>
      </c>
      <c r="C25" s="281"/>
      <c r="D25" s="290" t="n">
        <f aca="false">SUM(D5:D24)</f>
        <v>278070.15310697</v>
      </c>
      <c r="E25" s="290" t="n">
        <f aca="false">SUM(E5:E24)</f>
        <v>356019.082848</v>
      </c>
    </row>
  </sheetData>
  <mergeCells count="2">
    <mergeCell ref="B2:M2"/>
    <mergeCell ref="B25:C25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ME3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3" width="33.38"/>
    <col collapsed="false" customWidth="true" hidden="false" outlineLevel="0" max="4" min="3" style="23" width="14.75"/>
    <col collapsed="false" customWidth="true" hidden="false" outlineLevel="0" max="5" min="5" style="23" width="15.62"/>
    <col collapsed="false" customWidth="true" hidden="false" outlineLevel="0" max="6" min="6" style="23" width="13.76"/>
    <col collapsed="false" customWidth="true" hidden="false" outlineLevel="0" max="7" min="7" style="23" width="14.87"/>
    <col collapsed="false" customWidth="true" hidden="false" outlineLevel="0" max="8" min="8" style="23" width="14.38"/>
    <col collapsed="false" customWidth="true" hidden="false" outlineLevel="0" max="9" min="9" style="24" width="14"/>
    <col collapsed="false" customWidth="true" hidden="false" outlineLevel="0" max="10" min="10" style="23" width="14.87"/>
    <col collapsed="false" customWidth="true" hidden="false" outlineLevel="0" max="249" min="11" style="23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5" t="str">
        <f aca="false">"PLANILHA RESUMO "&amp;'Valor da Contratação'!B7&amp;""</f>
        <v>PLANILHA RESUMO POLO IV</v>
      </c>
      <c r="C2" s="25"/>
      <c r="D2" s="25"/>
      <c r="E2" s="25"/>
      <c r="F2" s="25"/>
      <c r="G2" s="25"/>
      <c r="H2" s="25"/>
      <c r="I2" s="25"/>
      <c r="J2" s="26"/>
    </row>
    <row r="3" customFormat="false" ht="15" hidden="false" customHeight="true" outlineLevel="0" collapsed="false">
      <c r="B3" s="2"/>
      <c r="H3" s="2"/>
      <c r="I3" s="27"/>
    </row>
    <row r="4" customFormat="false" ht="46.5" hidden="false" customHeight="true" outlineLevel="0" collapsed="false">
      <c r="B4" s="28" t="s">
        <v>13</v>
      </c>
      <c r="C4" s="28" t="s">
        <v>14</v>
      </c>
      <c r="D4" s="28" t="s">
        <v>15</v>
      </c>
      <c r="E4" s="28" t="s">
        <v>16</v>
      </c>
      <c r="F4" s="28" t="s">
        <v>17</v>
      </c>
      <c r="G4" s="28" t="s">
        <v>18</v>
      </c>
      <c r="H4" s="28" t="s">
        <v>19</v>
      </c>
      <c r="I4" s="28" t="s">
        <v>20</v>
      </c>
    </row>
    <row r="5" customFormat="false" ht="19.5" hidden="false" customHeight="true" outlineLevel="0" collapsed="false">
      <c r="B5" s="29" t="s">
        <v>21</v>
      </c>
      <c r="C5" s="30" t="n">
        <f aca="false">'Base Blumenau'!C18</f>
        <v>12059.1</v>
      </c>
      <c r="D5" s="31" t="n">
        <f aca="false">'Base Blumenau'!AT10</f>
        <v>14856.1090792625</v>
      </c>
      <c r="E5" s="31" t="n">
        <f aca="false">D5*12</f>
        <v>178273.30895115</v>
      </c>
      <c r="F5" s="31" t="n">
        <f aca="false">'Base Blumenau'!AT12</f>
        <v>39166.1057544194</v>
      </c>
      <c r="G5" s="31" t="n">
        <f aca="false">F5*12</f>
        <v>469993.269053033</v>
      </c>
      <c r="H5" s="31" t="n">
        <f aca="false">D5+F5</f>
        <v>54022.2148336819</v>
      </c>
      <c r="I5" s="31" t="n">
        <f aca="false">H5*12</f>
        <v>648266.578004183</v>
      </c>
    </row>
    <row r="6" s="32" customFormat="true" ht="19.5" hidden="false" customHeight="true" outlineLevel="0" collapsed="false">
      <c r="B6" s="29" t="s">
        <v>22</v>
      </c>
      <c r="C6" s="30" t="n">
        <f aca="false">'Base Joinville'!C16</f>
        <v>10788.9</v>
      </c>
      <c r="D6" s="31" t="n">
        <f aca="false">'Base Joinville'!AT10</f>
        <v>14812.1478247375</v>
      </c>
      <c r="E6" s="31" t="n">
        <f aca="false">D6*12</f>
        <v>177745.77389685</v>
      </c>
      <c r="F6" s="31" t="n">
        <f aca="false">'Base Joinville'!AT12</f>
        <v>39050.2079015806</v>
      </c>
      <c r="G6" s="31" t="n">
        <f aca="false">F6*12</f>
        <v>468602.494818967</v>
      </c>
      <c r="H6" s="31" t="n">
        <f aca="false">D6+F6</f>
        <v>53862.3557263181</v>
      </c>
      <c r="I6" s="31" t="n">
        <f aca="false">H6*12</f>
        <v>646348.268715817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</row>
    <row r="7" s="32" customFormat="true" ht="19.5" hidden="false" customHeight="true" outlineLevel="0" collapsed="false">
      <c r="B7" s="33" t="str">
        <f aca="false">"TOTAL "&amp;'Valor da Contratação'!B7&amp;""</f>
        <v>TOTAL POLO IV</v>
      </c>
      <c r="C7" s="34" t="n">
        <f aca="false">SUM(C5:C6)</f>
        <v>22848</v>
      </c>
      <c r="D7" s="35" t="n">
        <f aca="false">SUM(D5:D6)</f>
        <v>29668.256904</v>
      </c>
      <c r="E7" s="35" t="n">
        <f aca="false">SUM(E5:E6)</f>
        <v>356019.082848</v>
      </c>
      <c r="F7" s="35" t="n">
        <f aca="false">SUM(F5:F6)</f>
        <v>78216.313656</v>
      </c>
      <c r="G7" s="35" t="n">
        <f aca="false">SUM(G5:G6)</f>
        <v>938595.763872</v>
      </c>
      <c r="H7" s="35" t="n">
        <f aca="false">SUM(H5:H6)</f>
        <v>107884.57056</v>
      </c>
      <c r="I7" s="35" t="n">
        <f aca="false">SUM(I5:I6)</f>
        <v>1294614.84672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</row>
    <row r="8" customFormat="false" ht="24.75" hidden="false" customHeight="true" outlineLevel="0" collapsed="false">
      <c r="B8" s="2"/>
      <c r="C8" s="2"/>
      <c r="D8" s="2"/>
      <c r="E8" s="2"/>
      <c r="F8" s="2"/>
      <c r="G8" s="20"/>
      <c r="H8" s="2"/>
      <c r="I8" s="27"/>
    </row>
    <row r="9" customFormat="false" ht="27" hidden="false" customHeight="true" outlineLevel="0" collapsed="false">
      <c r="A9" s="32"/>
      <c r="B9" s="36" t="str">
        <f aca="false">"BASE "&amp;B5</f>
        <v>BASE BLUMENAU</v>
      </c>
      <c r="C9" s="37" t="s">
        <v>23</v>
      </c>
      <c r="D9" s="37"/>
      <c r="E9" s="37"/>
      <c r="F9" s="37" t="s">
        <v>24</v>
      </c>
      <c r="G9" s="37"/>
      <c r="H9" s="37"/>
      <c r="I9" s="38" t="s">
        <v>25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9"/>
      <c r="IQ9" s="32"/>
      <c r="IR9" s="32"/>
      <c r="IS9" s="32"/>
      <c r="IT9" s="32"/>
      <c r="IU9" s="32"/>
      <c r="IV9" s="32"/>
      <c r="IW9" s="32"/>
      <c r="IX9" s="32"/>
      <c r="IY9" s="32"/>
      <c r="IZ9" s="32"/>
      <c r="JA9" s="32"/>
      <c r="JB9" s="32"/>
      <c r="JC9" s="32"/>
      <c r="JD9" s="32"/>
      <c r="JE9" s="32"/>
      <c r="JF9" s="32"/>
      <c r="JG9" s="32"/>
      <c r="JH9" s="32"/>
      <c r="JI9" s="32"/>
      <c r="JJ9" s="32"/>
      <c r="JK9" s="32"/>
      <c r="JL9" s="32"/>
      <c r="JM9" s="32"/>
      <c r="JN9" s="32"/>
      <c r="JO9" s="32"/>
      <c r="JP9" s="32"/>
      <c r="JQ9" s="32"/>
      <c r="JR9" s="32"/>
      <c r="JS9" s="32"/>
      <c r="JT9" s="32"/>
      <c r="JU9" s="32"/>
      <c r="JV9" s="32"/>
      <c r="JW9" s="32"/>
      <c r="JX9" s="32"/>
      <c r="JY9" s="32"/>
      <c r="JZ9" s="32"/>
      <c r="KA9" s="32"/>
      <c r="KB9" s="32"/>
      <c r="KC9" s="32"/>
      <c r="KD9" s="32"/>
      <c r="KE9" s="32"/>
      <c r="KF9" s="32"/>
      <c r="KG9" s="32"/>
      <c r="KH9" s="32"/>
      <c r="KI9" s="32"/>
      <c r="KJ9" s="32"/>
      <c r="KK9" s="32"/>
      <c r="KL9" s="32"/>
      <c r="KM9" s="32"/>
      <c r="KN9" s="32"/>
      <c r="KO9" s="32"/>
      <c r="KP9" s="32"/>
      <c r="KQ9" s="32"/>
      <c r="KR9" s="32"/>
      <c r="KS9" s="32"/>
      <c r="KT9" s="32"/>
      <c r="KU9" s="32"/>
      <c r="KV9" s="32"/>
      <c r="KW9" s="32"/>
      <c r="KX9" s="32"/>
      <c r="KY9" s="32"/>
      <c r="KZ9" s="32"/>
      <c r="LA9" s="32"/>
      <c r="LB9" s="32"/>
      <c r="LC9" s="32"/>
      <c r="LD9" s="32"/>
      <c r="LE9" s="32"/>
      <c r="LF9" s="32"/>
      <c r="LG9" s="32"/>
      <c r="LH9" s="32"/>
      <c r="LI9" s="32"/>
      <c r="LJ9" s="32"/>
      <c r="LK9" s="32"/>
      <c r="LL9" s="32"/>
      <c r="LM9" s="32"/>
      <c r="LN9" s="32"/>
      <c r="LO9" s="32"/>
      <c r="LP9" s="32"/>
      <c r="LQ9" s="32"/>
      <c r="LR9" s="32"/>
      <c r="LS9" s="32"/>
      <c r="LT9" s="32"/>
      <c r="LU9" s="32"/>
      <c r="LV9" s="32"/>
      <c r="LW9" s="32"/>
      <c r="LX9" s="32"/>
      <c r="LY9" s="32"/>
      <c r="LZ9" s="32"/>
      <c r="MA9" s="32"/>
      <c r="MB9" s="32"/>
      <c r="MC9" s="32"/>
      <c r="MD9" s="32"/>
      <c r="ME9" s="32"/>
      <c r="MF9" s="32"/>
      <c r="MG9" s="32"/>
      <c r="MH9" s="32"/>
      <c r="MI9" s="32"/>
      <c r="MJ9" s="32"/>
      <c r="MK9" s="32"/>
      <c r="ML9" s="32"/>
      <c r="MM9" s="32"/>
      <c r="MN9" s="32"/>
      <c r="MO9" s="32"/>
      <c r="MP9" s="32"/>
      <c r="MQ9" s="32"/>
      <c r="MR9" s="32"/>
      <c r="MS9" s="32"/>
      <c r="MT9" s="32"/>
      <c r="MU9" s="32"/>
      <c r="MV9" s="32"/>
      <c r="MW9" s="32"/>
      <c r="MX9" s="32"/>
      <c r="MY9" s="32"/>
      <c r="MZ9" s="32"/>
      <c r="NA9" s="32"/>
      <c r="NB9" s="32"/>
      <c r="NC9" s="32"/>
      <c r="ND9" s="32"/>
      <c r="NE9" s="32"/>
      <c r="NF9" s="32"/>
      <c r="NG9" s="32"/>
      <c r="NH9" s="32"/>
      <c r="NI9" s="32"/>
      <c r="NJ9" s="32"/>
      <c r="NK9" s="32"/>
      <c r="NL9" s="32"/>
      <c r="NM9" s="32"/>
      <c r="NN9" s="32"/>
      <c r="NO9" s="32"/>
      <c r="NP9" s="32"/>
      <c r="NQ9" s="32"/>
      <c r="NR9" s="32"/>
      <c r="NS9" s="32"/>
      <c r="NT9" s="32"/>
      <c r="NU9" s="32"/>
      <c r="NV9" s="32"/>
      <c r="NW9" s="32"/>
      <c r="NX9" s="32"/>
      <c r="NY9" s="32"/>
      <c r="NZ9" s="32"/>
      <c r="OA9" s="32"/>
      <c r="OB9" s="32"/>
      <c r="OC9" s="32"/>
      <c r="OD9" s="32"/>
      <c r="OE9" s="32"/>
      <c r="OF9" s="32"/>
      <c r="OG9" s="32"/>
      <c r="OH9" s="32"/>
      <c r="OI9" s="32"/>
      <c r="OJ9" s="32"/>
      <c r="OK9" s="32"/>
      <c r="OL9" s="32"/>
      <c r="OM9" s="32"/>
      <c r="ON9" s="32"/>
      <c r="OO9" s="32"/>
      <c r="OP9" s="32"/>
      <c r="OQ9" s="32"/>
      <c r="OR9" s="32"/>
      <c r="OS9" s="32"/>
      <c r="OT9" s="32"/>
      <c r="OU9" s="32"/>
      <c r="OV9" s="32"/>
      <c r="OW9" s="32"/>
      <c r="OX9" s="32"/>
      <c r="OY9" s="32"/>
      <c r="OZ9" s="32"/>
      <c r="PA9" s="32"/>
      <c r="PB9" s="32"/>
      <c r="PC9" s="32"/>
      <c r="PD9" s="32"/>
      <c r="PE9" s="32"/>
      <c r="PF9" s="32"/>
      <c r="PG9" s="32"/>
      <c r="PH9" s="32"/>
      <c r="PI9" s="32"/>
      <c r="PJ9" s="32"/>
      <c r="PK9" s="32"/>
      <c r="PL9" s="32"/>
      <c r="PM9" s="32"/>
      <c r="PN9" s="32"/>
      <c r="PO9" s="32"/>
      <c r="PP9" s="32"/>
      <c r="PQ9" s="32"/>
      <c r="PR9" s="32"/>
      <c r="PS9" s="32"/>
      <c r="PT9" s="32"/>
      <c r="PU9" s="32"/>
      <c r="PV9" s="32"/>
      <c r="PW9" s="32"/>
      <c r="PX9" s="32"/>
      <c r="PY9" s="32"/>
      <c r="PZ9" s="32"/>
      <c r="QA9" s="32"/>
      <c r="QB9" s="32"/>
      <c r="QC9" s="32"/>
      <c r="QD9" s="32"/>
      <c r="QE9" s="32"/>
      <c r="QF9" s="32"/>
      <c r="QG9" s="32"/>
      <c r="QH9" s="32"/>
      <c r="QI9" s="32"/>
      <c r="QJ9" s="32"/>
      <c r="QK9" s="32"/>
      <c r="QL9" s="32"/>
      <c r="QM9" s="32"/>
      <c r="QN9" s="32"/>
      <c r="QO9" s="32"/>
      <c r="QP9" s="32"/>
      <c r="QQ9" s="32"/>
      <c r="QR9" s="32"/>
      <c r="QS9" s="32"/>
      <c r="QT9" s="32"/>
      <c r="QU9" s="32"/>
      <c r="QV9" s="32"/>
      <c r="QW9" s="32"/>
      <c r="QX9" s="32"/>
      <c r="QY9" s="32"/>
      <c r="QZ9" s="32"/>
      <c r="RA9" s="32"/>
      <c r="RB9" s="32"/>
      <c r="RC9" s="32"/>
      <c r="RD9" s="32"/>
      <c r="RE9" s="32"/>
      <c r="RF9" s="32"/>
      <c r="RG9" s="32"/>
      <c r="RH9" s="32"/>
      <c r="RI9" s="32"/>
      <c r="RJ9" s="32"/>
      <c r="RK9" s="32"/>
      <c r="RL9" s="32"/>
      <c r="RM9" s="32"/>
      <c r="RN9" s="32"/>
      <c r="RO9" s="32"/>
      <c r="RP9" s="32"/>
      <c r="RQ9" s="32"/>
      <c r="RR9" s="32"/>
      <c r="RS9" s="32"/>
      <c r="RT9" s="32"/>
      <c r="RU9" s="32"/>
      <c r="RV9" s="32"/>
      <c r="RW9" s="32"/>
      <c r="RX9" s="32"/>
      <c r="RY9" s="32"/>
      <c r="RZ9" s="32"/>
      <c r="SA9" s="32"/>
      <c r="SB9" s="32"/>
      <c r="SC9" s="32"/>
      <c r="SD9" s="32"/>
      <c r="SE9" s="32"/>
      <c r="SF9" s="32"/>
      <c r="SG9" s="32"/>
      <c r="SH9" s="32"/>
      <c r="SI9" s="32"/>
      <c r="SJ9" s="32"/>
      <c r="SK9" s="32"/>
      <c r="SL9" s="32"/>
      <c r="SM9" s="32"/>
      <c r="SN9" s="32"/>
      <c r="SO9" s="32"/>
      <c r="SP9" s="32"/>
      <c r="SQ9" s="32"/>
      <c r="SR9" s="32"/>
      <c r="SS9" s="32"/>
      <c r="ST9" s="32"/>
      <c r="SU9" s="32"/>
      <c r="SV9" s="32"/>
      <c r="SW9" s="32"/>
      <c r="SX9" s="32"/>
      <c r="SY9" s="32"/>
      <c r="SZ9" s="32"/>
      <c r="TA9" s="32"/>
      <c r="TB9" s="32"/>
      <c r="TC9" s="32"/>
      <c r="TD9" s="32"/>
      <c r="TE9" s="32"/>
      <c r="TF9" s="32"/>
      <c r="TG9" s="32"/>
      <c r="TH9" s="32"/>
      <c r="TI9" s="32"/>
      <c r="TJ9" s="32"/>
      <c r="TK9" s="32"/>
      <c r="TL9" s="32"/>
      <c r="TM9" s="32"/>
      <c r="TN9" s="32"/>
      <c r="TO9" s="32"/>
      <c r="TP9" s="32"/>
      <c r="TQ9" s="32"/>
      <c r="TR9" s="32"/>
      <c r="TS9" s="32"/>
      <c r="TT9" s="32"/>
      <c r="TU9" s="32"/>
      <c r="TV9" s="32"/>
      <c r="TW9" s="32"/>
      <c r="TX9" s="32"/>
      <c r="TY9" s="32"/>
      <c r="TZ9" s="32"/>
      <c r="UA9" s="32"/>
      <c r="UB9" s="32"/>
      <c r="UC9" s="32"/>
      <c r="UD9" s="32"/>
      <c r="UE9" s="32"/>
      <c r="UF9" s="32"/>
      <c r="UG9" s="32"/>
      <c r="UH9" s="32"/>
      <c r="UI9" s="32"/>
      <c r="UJ9" s="32"/>
      <c r="UK9" s="32"/>
      <c r="UL9" s="32"/>
      <c r="UM9" s="32"/>
      <c r="UN9" s="32"/>
      <c r="UO9" s="32"/>
      <c r="UP9" s="32"/>
      <c r="UQ9" s="32"/>
      <c r="UR9" s="32"/>
      <c r="US9" s="32"/>
      <c r="UT9" s="32"/>
      <c r="UU9" s="32"/>
      <c r="UV9" s="32"/>
      <c r="UW9" s="32"/>
      <c r="UX9" s="32"/>
      <c r="UY9" s="32"/>
      <c r="UZ9" s="32"/>
      <c r="VA9" s="32"/>
      <c r="VB9" s="32"/>
      <c r="VC9" s="32"/>
      <c r="VD9" s="32"/>
      <c r="VE9" s="32"/>
      <c r="VF9" s="32"/>
      <c r="VG9" s="32"/>
      <c r="VH9" s="32"/>
      <c r="VI9" s="32"/>
      <c r="VJ9" s="32"/>
      <c r="VK9" s="32"/>
      <c r="VL9" s="32"/>
      <c r="VM9" s="32"/>
      <c r="VN9" s="32"/>
      <c r="VO9" s="32"/>
      <c r="VP9" s="32"/>
      <c r="VQ9" s="32"/>
      <c r="VR9" s="32"/>
      <c r="VS9" s="32"/>
      <c r="VT9" s="32"/>
      <c r="VU9" s="32"/>
      <c r="VV9" s="32"/>
      <c r="VW9" s="32"/>
      <c r="VX9" s="32"/>
      <c r="VY9" s="32"/>
      <c r="VZ9" s="32"/>
      <c r="WA9" s="32"/>
      <c r="WB9" s="32"/>
      <c r="WC9" s="32"/>
      <c r="WD9" s="32"/>
      <c r="WE9" s="32"/>
      <c r="WF9" s="32"/>
      <c r="WG9" s="32"/>
      <c r="WH9" s="32"/>
      <c r="WI9" s="32"/>
      <c r="WJ9" s="32"/>
      <c r="WK9" s="32"/>
      <c r="WL9" s="32"/>
      <c r="WM9" s="32"/>
      <c r="WN9" s="32"/>
      <c r="WO9" s="32"/>
      <c r="WP9" s="32"/>
      <c r="WQ9" s="32"/>
      <c r="WR9" s="32"/>
      <c r="WS9" s="32"/>
      <c r="WT9" s="32"/>
      <c r="WU9" s="32"/>
      <c r="WV9" s="32"/>
      <c r="WW9" s="32"/>
      <c r="WX9" s="32"/>
      <c r="WY9" s="32"/>
      <c r="WZ9" s="32"/>
      <c r="XA9" s="32"/>
      <c r="XB9" s="32"/>
      <c r="XC9" s="32"/>
      <c r="XD9" s="32"/>
      <c r="XE9" s="32"/>
      <c r="XF9" s="32"/>
      <c r="XG9" s="32"/>
      <c r="XH9" s="32"/>
      <c r="XI9" s="32"/>
      <c r="XJ9" s="32"/>
      <c r="XK9" s="32"/>
      <c r="XL9" s="32"/>
      <c r="XM9" s="32"/>
      <c r="XN9" s="32"/>
      <c r="XO9" s="32"/>
      <c r="XP9" s="32"/>
      <c r="XQ9" s="32"/>
      <c r="XR9" s="32"/>
      <c r="XS9" s="32"/>
      <c r="XT9" s="32"/>
      <c r="XU9" s="32"/>
      <c r="XV9" s="32"/>
      <c r="XW9" s="32"/>
      <c r="XX9" s="32"/>
      <c r="XY9" s="32"/>
      <c r="XZ9" s="32"/>
      <c r="YA9" s="32"/>
      <c r="YB9" s="32"/>
      <c r="YC9" s="32"/>
      <c r="YD9" s="32"/>
      <c r="YE9" s="32"/>
      <c r="YF9" s="32"/>
      <c r="YG9" s="32"/>
      <c r="YH9" s="32"/>
      <c r="YI9" s="32"/>
      <c r="YJ9" s="32"/>
      <c r="YK9" s="32"/>
      <c r="YL9" s="32"/>
      <c r="YM9" s="32"/>
      <c r="YN9" s="32"/>
      <c r="YO9" s="32"/>
      <c r="YP9" s="32"/>
      <c r="YQ9" s="32"/>
      <c r="YR9" s="32"/>
      <c r="YS9" s="32"/>
      <c r="YT9" s="32"/>
      <c r="YU9" s="32"/>
      <c r="YV9" s="32"/>
      <c r="YW9" s="32"/>
      <c r="YX9" s="32"/>
      <c r="YY9" s="32"/>
      <c r="YZ9" s="32"/>
      <c r="ZA9" s="32"/>
      <c r="ZB9" s="32"/>
      <c r="ZC9" s="32"/>
      <c r="ZD9" s="32"/>
      <c r="ZE9" s="32"/>
      <c r="ZF9" s="32"/>
      <c r="ZG9" s="32"/>
      <c r="ZH9" s="32"/>
      <c r="ZI9" s="32"/>
      <c r="ZJ9" s="32"/>
      <c r="ZK9" s="32"/>
      <c r="ZL9" s="32"/>
      <c r="ZM9" s="32"/>
      <c r="ZN9" s="32"/>
      <c r="ZO9" s="32"/>
      <c r="ZP9" s="32"/>
      <c r="ZQ9" s="32"/>
      <c r="ZR9" s="32"/>
      <c r="ZS9" s="32"/>
      <c r="ZT9" s="32"/>
      <c r="ZU9" s="32"/>
      <c r="ZV9" s="32"/>
      <c r="ZW9" s="32"/>
      <c r="ZX9" s="32"/>
      <c r="ZY9" s="32"/>
      <c r="ZZ9" s="32"/>
      <c r="AAA9" s="32"/>
      <c r="AAB9" s="32"/>
      <c r="AAC9" s="32"/>
      <c r="AAD9" s="32"/>
      <c r="AAE9" s="32"/>
      <c r="AAF9" s="32"/>
      <c r="AAG9" s="32"/>
      <c r="AAH9" s="32"/>
      <c r="AAI9" s="32"/>
      <c r="AAJ9" s="32"/>
      <c r="AAK9" s="32"/>
      <c r="AAL9" s="32"/>
      <c r="AAM9" s="32"/>
      <c r="AAN9" s="32"/>
      <c r="AAO9" s="32"/>
      <c r="AAP9" s="32"/>
      <c r="AAQ9" s="32"/>
      <c r="AAR9" s="32"/>
      <c r="AAS9" s="32"/>
      <c r="AAT9" s="32"/>
      <c r="AAU9" s="32"/>
      <c r="AAV9" s="32"/>
      <c r="AAW9" s="32"/>
      <c r="AAX9" s="32"/>
      <c r="AAY9" s="32"/>
      <c r="AAZ9" s="32"/>
      <c r="ABA9" s="32"/>
      <c r="ABB9" s="32"/>
      <c r="ABC9" s="32"/>
      <c r="ABD9" s="32"/>
      <c r="ABE9" s="32"/>
      <c r="ABF9" s="32"/>
      <c r="ABG9" s="32"/>
      <c r="ABH9" s="32"/>
      <c r="ABI9" s="32"/>
      <c r="ABJ9" s="32"/>
      <c r="ABK9" s="32"/>
      <c r="ABL9" s="32"/>
      <c r="ABM9" s="32"/>
      <c r="ABN9" s="32"/>
      <c r="ABO9" s="32"/>
      <c r="ABP9" s="32"/>
      <c r="ABQ9" s="32"/>
      <c r="ABR9" s="32"/>
      <c r="ABS9" s="32"/>
      <c r="ABT9" s="32"/>
      <c r="ABU9" s="32"/>
      <c r="ABV9" s="32"/>
      <c r="ABW9" s="32"/>
      <c r="ABX9" s="32"/>
      <c r="ABY9" s="32"/>
      <c r="ABZ9" s="32"/>
      <c r="ACA9" s="32"/>
      <c r="ACB9" s="32"/>
      <c r="ACC9" s="32"/>
      <c r="ACD9" s="32"/>
      <c r="ACE9" s="32"/>
      <c r="ACF9" s="32"/>
      <c r="ACG9" s="32"/>
      <c r="ACH9" s="32"/>
      <c r="ACI9" s="32"/>
      <c r="ACJ9" s="32"/>
      <c r="ACK9" s="32"/>
      <c r="ACL9" s="32"/>
      <c r="ACM9" s="32"/>
      <c r="ACN9" s="32"/>
      <c r="ACO9" s="32"/>
      <c r="ACP9" s="32"/>
      <c r="ACQ9" s="32"/>
      <c r="ACR9" s="32"/>
      <c r="ACS9" s="32"/>
      <c r="ACT9" s="32"/>
      <c r="ACU9" s="32"/>
      <c r="ACV9" s="32"/>
      <c r="ACW9" s="32"/>
      <c r="ACX9" s="32"/>
      <c r="ACY9" s="32"/>
      <c r="ACZ9" s="32"/>
      <c r="ADA9" s="32"/>
      <c r="ADB9" s="32"/>
      <c r="ADC9" s="32"/>
      <c r="ADD9" s="32"/>
      <c r="ADE9" s="32"/>
      <c r="ADF9" s="32"/>
      <c r="ADG9" s="32"/>
      <c r="ADH9" s="32"/>
      <c r="ADI9" s="32"/>
      <c r="ADJ9" s="32"/>
      <c r="ADK9" s="32"/>
      <c r="ADL9" s="32"/>
      <c r="ADM9" s="32"/>
      <c r="ADN9" s="32"/>
      <c r="ADO9" s="32"/>
      <c r="ADP9" s="32"/>
      <c r="ADQ9" s="32"/>
      <c r="ADR9" s="32"/>
      <c r="ADS9" s="32"/>
      <c r="ADT9" s="32"/>
      <c r="ADU9" s="32"/>
      <c r="ADV9" s="32"/>
      <c r="ADW9" s="32"/>
      <c r="ADX9" s="32"/>
      <c r="ADY9" s="32"/>
      <c r="ADZ9" s="32"/>
      <c r="AEA9" s="32"/>
      <c r="AEB9" s="32"/>
      <c r="AEC9" s="32"/>
      <c r="AED9" s="32"/>
      <c r="AEE9" s="32"/>
      <c r="AEF9" s="32"/>
      <c r="AEG9" s="32"/>
      <c r="AEH9" s="32"/>
      <c r="AEI9" s="32"/>
      <c r="AEJ9" s="32"/>
      <c r="AEK9" s="32"/>
      <c r="AEL9" s="32"/>
      <c r="AEM9" s="32"/>
      <c r="AEN9" s="32"/>
      <c r="AEO9" s="32"/>
      <c r="AEP9" s="32"/>
      <c r="AEQ9" s="32"/>
      <c r="AER9" s="32"/>
      <c r="AES9" s="32"/>
      <c r="AET9" s="32"/>
      <c r="AEU9" s="32"/>
      <c r="AEV9" s="32"/>
      <c r="AEW9" s="32"/>
      <c r="AEX9" s="32"/>
      <c r="AEY9" s="32"/>
      <c r="AEZ9" s="32"/>
      <c r="AFA9" s="32"/>
      <c r="AFB9" s="32"/>
      <c r="AFC9" s="32"/>
      <c r="AFD9" s="32"/>
      <c r="AFE9" s="32"/>
      <c r="AFF9" s="32"/>
      <c r="AFG9" s="32"/>
      <c r="AFH9" s="32"/>
      <c r="AFI9" s="32"/>
      <c r="AFJ9" s="32"/>
      <c r="AFK9" s="32"/>
      <c r="AFL9" s="32"/>
      <c r="AFM9" s="32"/>
      <c r="AFN9" s="32"/>
      <c r="AFO9" s="32"/>
      <c r="AFP9" s="32"/>
      <c r="AFQ9" s="32"/>
      <c r="AFR9" s="32"/>
      <c r="AFS9" s="32"/>
      <c r="AFT9" s="32"/>
      <c r="AFU9" s="32"/>
      <c r="AFV9" s="32"/>
      <c r="AFW9" s="32"/>
      <c r="AFX9" s="32"/>
      <c r="AFY9" s="32"/>
      <c r="AFZ9" s="32"/>
      <c r="AGA9" s="32"/>
      <c r="AGB9" s="32"/>
      <c r="AGC9" s="32"/>
      <c r="AGD9" s="32"/>
      <c r="AGE9" s="32"/>
      <c r="AGF9" s="32"/>
      <c r="AGG9" s="32"/>
      <c r="AGH9" s="32"/>
      <c r="AGI9" s="32"/>
      <c r="AGJ9" s="32"/>
      <c r="AGK9" s="32"/>
      <c r="AGL9" s="32"/>
      <c r="AGM9" s="32"/>
      <c r="AGN9" s="32"/>
      <c r="AGO9" s="32"/>
      <c r="AGP9" s="32"/>
      <c r="AGQ9" s="32"/>
      <c r="AGR9" s="32"/>
      <c r="AGS9" s="32"/>
      <c r="AGT9" s="32"/>
      <c r="AGU9" s="32"/>
      <c r="AGV9" s="32"/>
      <c r="AGW9" s="32"/>
      <c r="AGX9" s="32"/>
      <c r="AGY9" s="32"/>
      <c r="AGZ9" s="32"/>
      <c r="AHA9" s="32"/>
      <c r="AHB9" s="32"/>
      <c r="AHC9" s="32"/>
      <c r="AHD9" s="32"/>
      <c r="AHE9" s="32"/>
      <c r="AHF9" s="32"/>
      <c r="AHG9" s="32"/>
      <c r="AHH9" s="32"/>
      <c r="AHI9" s="32"/>
      <c r="AHJ9" s="32"/>
      <c r="AHK9" s="32"/>
      <c r="AHL9" s="32"/>
      <c r="AHM9" s="32"/>
      <c r="AHN9" s="32"/>
      <c r="AHO9" s="32"/>
      <c r="AHP9" s="32"/>
      <c r="AHQ9" s="32"/>
      <c r="AHR9" s="32"/>
      <c r="AHS9" s="32"/>
      <c r="AHT9" s="32"/>
      <c r="AHU9" s="32"/>
      <c r="AHV9" s="32"/>
      <c r="AHW9" s="32"/>
      <c r="AHX9" s="32"/>
      <c r="AHY9" s="32"/>
      <c r="AHZ9" s="32"/>
      <c r="AIA9" s="32"/>
      <c r="AIB9" s="32"/>
      <c r="AIC9" s="32"/>
      <c r="AID9" s="32"/>
      <c r="AIE9" s="32"/>
      <c r="AIF9" s="32"/>
      <c r="AIG9" s="32"/>
      <c r="AIH9" s="32"/>
      <c r="AII9" s="32"/>
      <c r="AIJ9" s="32"/>
      <c r="AIK9" s="32"/>
      <c r="AIL9" s="32"/>
      <c r="AIM9" s="32"/>
      <c r="AIN9" s="32"/>
      <c r="AIO9" s="32"/>
      <c r="AIP9" s="32"/>
      <c r="AIQ9" s="32"/>
      <c r="AIR9" s="32"/>
      <c r="AIS9" s="32"/>
      <c r="AIT9" s="32"/>
      <c r="AIU9" s="32"/>
      <c r="AIV9" s="32"/>
      <c r="AIW9" s="32"/>
      <c r="AIX9" s="32"/>
      <c r="AIY9" s="32"/>
      <c r="AIZ9" s="32"/>
      <c r="AJA9" s="32"/>
      <c r="AJB9" s="32"/>
      <c r="AJC9" s="32"/>
      <c r="AJD9" s="32"/>
      <c r="AJE9" s="32"/>
      <c r="AJF9" s="32"/>
      <c r="AJG9" s="32"/>
      <c r="AJH9" s="32"/>
      <c r="AJI9" s="32"/>
      <c r="AJJ9" s="32"/>
      <c r="AJK9" s="32"/>
      <c r="AJL9" s="32"/>
      <c r="AJM9" s="32"/>
      <c r="AJN9" s="32"/>
      <c r="AJO9" s="32"/>
      <c r="AJP9" s="32"/>
      <c r="AJQ9" s="32"/>
      <c r="AJR9" s="32"/>
      <c r="AJS9" s="32"/>
      <c r="AJT9" s="32"/>
      <c r="AJU9" s="32"/>
      <c r="AJV9" s="32"/>
      <c r="AJW9" s="32"/>
      <c r="AJX9" s="32"/>
      <c r="AJY9" s="32"/>
      <c r="AJZ9" s="32"/>
      <c r="AKA9" s="32"/>
      <c r="AKB9" s="32"/>
      <c r="AKC9" s="32"/>
      <c r="AKD9" s="32"/>
      <c r="AKE9" s="32"/>
      <c r="AKF9" s="32"/>
      <c r="AKG9" s="32"/>
      <c r="AKH9" s="32"/>
      <c r="AKI9" s="32"/>
      <c r="AKJ9" s="32"/>
      <c r="AKK9" s="32"/>
      <c r="AKL9" s="32"/>
      <c r="AKM9" s="32"/>
      <c r="AKN9" s="32"/>
      <c r="AKO9" s="32"/>
      <c r="AKP9" s="32"/>
      <c r="AKQ9" s="32"/>
      <c r="AKR9" s="32"/>
      <c r="AKS9" s="32"/>
      <c r="AKT9" s="32"/>
      <c r="AKU9" s="32"/>
      <c r="AKV9" s="32"/>
      <c r="AKW9" s="32"/>
      <c r="AKX9" s="32"/>
      <c r="AKY9" s="32"/>
      <c r="AKZ9" s="32"/>
      <c r="ALA9" s="32"/>
      <c r="ALB9" s="32"/>
      <c r="ALC9" s="32"/>
      <c r="ALD9" s="32"/>
      <c r="ALE9" s="32"/>
      <c r="ALF9" s="32"/>
      <c r="ALG9" s="32"/>
      <c r="ALH9" s="32"/>
      <c r="ALI9" s="32"/>
      <c r="ALJ9" s="32"/>
      <c r="ALK9" s="32"/>
      <c r="ALL9" s="32"/>
      <c r="ALM9" s="32"/>
      <c r="ALN9" s="32"/>
      <c r="ALO9" s="32"/>
      <c r="ALP9" s="32"/>
      <c r="ALQ9" s="32"/>
      <c r="ALR9" s="32"/>
      <c r="ALS9" s="32"/>
      <c r="ALT9" s="32"/>
      <c r="ALU9" s="32"/>
      <c r="ALV9" s="32"/>
      <c r="ALW9" s="32"/>
      <c r="ALX9" s="32"/>
      <c r="ALY9" s="32"/>
      <c r="ALZ9" s="32"/>
      <c r="AMA9" s="32"/>
      <c r="AMB9" s="32"/>
      <c r="AMC9" s="32"/>
      <c r="AMD9" s="32"/>
      <c r="AME9" s="32"/>
    </row>
    <row r="10" customFormat="false" ht="22.5" hidden="false" customHeight="true" outlineLevel="0" collapsed="false">
      <c r="A10" s="32"/>
      <c r="B10" s="36"/>
      <c r="C10" s="40" t="s">
        <v>26</v>
      </c>
      <c r="D10" s="40" t="s">
        <v>27</v>
      </c>
      <c r="E10" s="40" t="s">
        <v>28</v>
      </c>
      <c r="F10" s="41" t="s">
        <v>26</v>
      </c>
      <c r="G10" s="41" t="s">
        <v>27</v>
      </c>
      <c r="H10" s="41" t="s">
        <v>28</v>
      </c>
      <c r="I10" s="41" t="s">
        <v>29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9"/>
    </row>
    <row r="11" customFormat="false" ht="16.5" hidden="false" customHeight="true" outlineLevel="0" collapsed="false">
      <c r="B11" s="29" t="str">
        <f aca="false">'Base Blumenau'!B7</f>
        <v>APS BALNEÁRIO CAMBORIÚ</v>
      </c>
      <c r="C11" s="31" t="n">
        <f aca="false">'Base Blumenau'!AO7</f>
        <v>1344.33363977768</v>
      </c>
      <c r="D11" s="31" t="n">
        <f aca="false">C11*3</f>
        <v>4033.00091933303</v>
      </c>
      <c r="E11" s="31" t="n">
        <f aca="false">C11+D11</f>
        <v>5377.33455911071</v>
      </c>
      <c r="F11" s="31" t="n">
        <f aca="false">C11*12</f>
        <v>16132.0036773321</v>
      </c>
      <c r="G11" s="31" t="n">
        <f aca="false">F11*3</f>
        <v>48396.0110319964</v>
      </c>
      <c r="H11" s="31" t="n">
        <f aca="false">F11+G11</f>
        <v>64528.0147093285</v>
      </c>
      <c r="I11" s="42" t="n">
        <f aca="false">F11/$E$7</f>
        <v>0.0453121881790241</v>
      </c>
    </row>
    <row r="12" customFormat="false" ht="16.5" hidden="false" customHeight="true" outlineLevel="0" collapsed="false">
      <c r="B12" s="29" t="str">
        <f aca="false">'Base Blumenau'!B8</f>
        <v>APS BRUSQUE</v>
      </c>
      <c r="C12" s="31" t="n">
        <f aca="false">'Base Blumenau'!AO8</f>
        <v>1650.65458110675</v>
      </c>
      <c r="D12" s="31" t="n">
        <f aca="false">C12*3</f>
        <v>4951.96374332025</v>
      </c>
      <c r="E12" s="31" t="n">
        <f aca="false">C12+D12</f>
        <v>6602.61832442699</v>
      </c>
      <c r="F12" s="31" t="n">
        <f aca="false">C12*12</f>
        <v>19807.854973281</v>
      </c>
      <c r="G12" s="31" t="n">
        <f aca="false">F12*3</f>
        <v>59423.5649198429</v>
      </c>
      <c r="H12" s="31" t="n">
        <f aca="false">F12+G12</f>
        <v>79231.4198931239</v>
      </c>
      <c r="I12" s="42" t="n">
        <f aca="false">F12/$E$7</f>
        <v>0.0556370597183349</v>
      </c>
    </row>
    <row r="13" customFormat="false" ht="16.5" hidden="false" customHeight="true" outlineLevel="0" collapsed="false">
      <c r="B13" s="29" t="str">
        <f aca="false">'Base Blumenau'!B9</f>
        <v>APS IBIRAMA</v>
      </c>
      <c r="C13" s="31" t="n">
        <f aca="false">'Base Blumenau'!AO9</f>
        <v>1388.14531761059</v>
      </c>
      <c r="D13" s="31" t="n">
        <f aca="false">C13*3</f>
        <v>4164.43595283176</v>
      </c>
      <c r="E13" s="31" t="n">
        <f aca="false">C13+D13</f>
        <v>5552.58127044235</v>
      </c>
      <c r="F13" s="31" t="n">
        <f aca="false">C13*12</f>
        <v>16657.7438113271</v>
      </c>
      <c r="G13" s="31" t="n">
        <f aca="false">F13*3</f>
        <v>49973.2314339812</v>
      </c>
      <c r="H13" s="31" t="n">
        <f aca="false">F13+G13</f>
        <v>66630.9752453082</v>
      </c>
      <c r="I13" s="42" t="n">
        <f aca="false">F13/$E$7</f>
        <v>0.0467889071509096</v>
      </c>
    </row>
    <row r="14" customFormat="false" ht="16.5" hidden="false" customHeight="true" outlineLevel="0" collapsed="false">
      <c r="B14" s="29" t="str">
        <f aca="false">'Base Blumenau'!B10</f>
        <v>APS INDAIAL</v>
      </c>
      <c r="C14" s="31" t="n">
        <f aca="false">'Base Blumenau'!AO10</f>
        <v>1073.45363578718</v>
      </c>
      <c r="D14" s="31" t="n">
        <f aca="false">C14*3</f>
        <v>3220.36090736153</v>
      </c>
      <c r="E14" s="31" t="n">
        <f aca="false">C14+D14</f>
        <v>4293.81454314871</v>
      </c>
      <c r="F14" s="31" t="n">
        <f aca="false">C14*12</f>
        <v>12881.4436294461</v>
      </c>
      <c r="G14" s="31" t="n">
        <f aca="false">F14*3</f>
        <v>38644.3308883384</v>
      </c>
      <c r="H14" s="31" t="n">
        <f aca="false">F14+G14</f>
        <v>51525.7745177845</v>
      </c>
      <c r="I14" s="42" t="n">
        <f aca="false">F14/$E$7</f>
        <v>0.036181890943598</v>
      </c>
    </row>
    <row r="15" customFormat="false" ht="16.5" hidden="false" customHeight="true" outlineLevel="0" collapsed="false">
      <c r="B15" s="29" t="str">
        <f aca="false">'Base Blumenau'!B11</f>
        <v>APS ITAJAÍ</v>
      </c>
      <c r="C15" s="31" t="n">
        <f aca="false">'Base Blumenau'!AO11</f>
        <v>1609.66367137961</v>
      </c>
      <c r="D15" s="31" t="n">
        <f aca="false">C15*3</f>
        <v>4828.99101413883</v>
      </c>
      <c r="E15" s="31" t="n">
        <f aca="false">C15+D15</f>
        <v>6438.65468551845</v>
      </c>
      <c r="F15" s="31" t="n">
        <f aca="false">C15*12</f>
        <v>19315.9640565553</v>
      </c>
      <c r="G15" s="31" t="n">
        <f aca="false">F15*3</f>
        <v>57947.892169666</v>
      </c>
      <c r="H15" s="31" t="n">
        <f aca="false">F15+G15</f>
        <v>77263.8562262214</v>
      </c>
      <c r="I15" s="42" t="n">
        <f aca="false">F15/$E$7</f>
        <v>0.0542554177209713</v>
      </c>
    </row>
    <row r="16" customFormat="false" ht="16.5" hidden="false" customHeight="true" outlineLevel="0" collapsed="false">
      <c r="B16" s="29" t="str">
        <f aca="false">'Base Blumenau'!B12</f>
        <v>APS PENHA</v>
      </c>
      <c r="C16" s="31" t="n">
        <f aca="false">'Base Blumenau'!AO12</f>
        <v>1133.6837707918</v>
      </c>
      <c r="D16" s="31" t="n">
        <f aca="false">C16*3</f>
        <v>3401.0513123754</v>
      </c>
      <c r="E16" s="31" t="n">
        <f aca="false">C16+D16</f>
        <v>4534.7350831672</v>
      </c>
      <c r="F16" s="31" t="n">
        <f aca="false">C16*12</f>
        <v>13604.2052495016</v>
      </c>
      <c r="G16" s="31" t="n">
        <f aca="false">F16*3</f>
        <v>40812.6157485048</v>
      </c>
      <c r="H16" s="31" t="n">
        <f aca="false">F16+G16</f>
        <v>54416.8209980064</v>
      </c>
      <c r="I16" s="42" t="n">
        <f aca="false">F16/$E$7</f>
        <v>0.038212011391844</v>
      </c>
    </row>
    <row r="17" customFormat="false" ht="16.5" hidden="false" customHeight="true" outlineLevel="0" collapsed="false">
      <c r="B17" s="29" t="str">
        <f aca="false">'Base Blumenau'!B13</f>
        <v>APS POMERODE</v>
      </c>
      <c r="C17" s="31" t="n">
        <f aca="false">'Base Blumenau'!AO13</f>
        <v>1158.06255057704</v>
      </c>
      <c r="D17" s="31" t="n">
        <f aca="false">C17*3</f>
        <v>3474.18765173113</v>
      </c>
      <c r="E17" s="31" t="n">
        <f aca="false">C17+D17</f>
        <v>4632.25020230817</v>
      </c>
      <c r="F17" s="31" t="n">
        <f aca="false">C17*12</f>
        <v>13896.7506069245</v>
      </c>
      <c r="G17" s="31" t="n">
        <f aca="false">F17*3</f>
        <v>41690.2518207736</v>
      </c>
      <c r="H17" s="31" t="n">
        <f aca="false">F17+G17</f>
        <v>55587.0024276981</v>
      </c>
      <c r="I17" s="42" t="n">
        <f aca="false">F17/$E$7</f>
        <v>0.0390337239671438</v>
      </c>
    </row>
    <row r="18" customFormat="false" ht="16.5" hidden="false" customHeight="true" outlineLevel="0" collapsed="false">
      <c r="B18" s="29" t="str">
        <f aca="false">'Base Blumenau'!B14</f>
        <v>APS RIO DO SUL</v>
      </c>
      <c r="C18" s="31" t="n">
        <f aca="false">'Base Blumenau'!AO14</f>
        <v>1681.05547455485</v>
      </c>
      <c r="D18" s="31" t="n">
        <f aca="false">C18*3</f>
        <v>5043.16642366456</v>
      </c>
      <c r="E18" s="31" t="n">
        <f aca="false">C18+D18</f>
        <v>6724.22189821942</v>
      </c>
      <c r="F18" s="31" t="n">
        <f aca="false">C18*12</f>
        <v>20172.6656946583</v>
      </c>
      <c r="G18" s="31" t="n">
        <f aca="false">F18*3</f>
        <v>60517.9970839748</v>
      </c>
      <c r="H18" s="31" t="n">
        <f aca="false">F18+G18</f>
        <v>80690.662778633</v>
      </c>
      <c r="I18" s="42" t="n">
        <f aca="false">F18/$E$7</f>
        <v>0.0566617540084806</v>
      </c>
    </row>
    <row r="19" customFormat="false" ht="16.5" hidden="false" customHeight="true" outlineLevel="0" collapsed="false">
      <c r="B19" s="29" t="str">
        <f aca="false">'Base Blumenau'!B15</f>
        <v>APS TIMBÓ</v>
      </c>
      <c r="C19" s="31" t="n">
        <f aca="false">'Base Blumenau'!AO15</f>
        <v>1274.44595551703</v>
      </c>
      <c r="D19" s="31" t="n">
        <f aca="false">C19*3</f>
        <v>3823.33786655108</v>
      </c>
      <c r="E19" s="31" t="n">
        <f aca="false">C19+D19</f>
        <v>5097.78382206811</v>
      </c>
      <c r="F19" s="31" t="n">
        <f aca="false">C19*12</f>
        <v>15293.3514662043</v>
      </c>
      <c r="G19" s="31" t="n">
        <f aca="false">F19*3</f>
        <v>45880.054398613</v>
      </c>
      <c r="H19" s="31" t="n">
        <f aca="false">F19+G19</f>
        <v>61173.4058648173</v>
      </c>
      <c r="I19" s="42" t="n">
        <f aca="false">F19/$E$7</f>
        <v>0.0429565498114991</v>
      </c>
    </row>
    <row r="20" customFormat="false" ht="16.5" hidden="false" customHeight="true" outlineLevel="0" collapsed="false">
      <c r="B20" s="29" t="str">
        <f aca="false">'Base Blumenau'!B16</f>
        <v>CEDOCPREV BLUMENAU</v>
      </c>
      <c r="C20" s="31" t="n">
        <f aca="false">'Base Blumenau'!AO16</f>
        <v>1006.0628776079</v>
      </c>
      <c r="D20" s="31" t="n">
        <f aca="false">C20*3</f>
        <v>3018.18863282369</v>
      </c>
      <c r="E20" s="31" t="n">
        <f aca="false">C20+D20</f>
        <v>4024.25151043159</v>
      </c>
      <c r="F20" s="31" t="n">
        <f aca="false">C20*12</f>
        <v>12072.7545312948</v>
      </c>
      <c r="G20" s="31" t="n">
        <f aca="false">F20*3</f>
        <v>36218.2635938843</v>
      </c>
      <c r="H20" s="31" t="n">
        <f aca="false">F20+G20</f>
        <v>48291.0181251791</v>
      </c>
      <c r="I20" s="42" t="n">
        <f aca="false">F20/$E$7</f>
        <v>0.0339104141124063</v>
      </c>
    </row>
    <row r="21" customFormat="false" ht="16.5" hidden="false" customHeight="true" outlineLevel="0" collapsed="false">
      <c r="B21" s="29" t="str">
        <f aca="false">'Base Blumenau'!B17</f>
        <v>GEX/APS BLUMENAU</v>
      </c>
      <c r="C21" s="31" t="n">
        <f aca="false">'Base Blumenau'!AO17</f>
        <v>1536.5476045521</v>
      </c>
      <c r="D21" s="31" t="n">
        <f aca="false">C21*3</f>
        <v>4609.64281365631</v>
      </c>
      <c r="E21" s="31" t="n">
        <f aca="false">C21+D21</f>
        <v>6146.19041820841</v>
      </c>
      <c r="F21" s="31" t="n">
        <f aca="false">C21*12</f>
        <v>18438.5712546252</v>
      </c>
      <c r="G21" s="31" t="n">
        <f aca="false">F21*3</f>
        <v>55315.7137638757</v>
      </c>
      <c r="H21" s="31" t="n">
        <f aca="false">F21+G21</f>
        <v>73754.2850185009</v>
      </c>
      <c r="I21" s="42" t="n">
        <f aca="false">F21/$E$7</f>
        <v>0.051790963302092</v>
      </c>
    </row>
    <row r="22" customFormat="false" ht="22.5" hidden="false" customHeight="true" outlineLevel="0" collapsed="false">
      <c r="B22" s="43" t="str">
        <f aca="false">"Total Base "&amp;B5</f>
        <v>Total Base BLUMENAU</v>
      </c>
      <c r="C22" s="43" t="n">
        <f aca="false">SUM(C11:C21)</f>
        <v>14856.1090792625</v>
      </c>
      <c r="D22" s="43" t="n">
        <f aca="false">SUM(D11:D21)</f>
        <v>44568.3272377876</v>
      </c>
      <c r="E22" s="43" t="n">
        <f aca="false">SUM(E11:E21)</f>
        <v>59424.4363170501</v>
      </c>
      <c r="F22" s="43" t="n">
        <f aca="false">SUM(F11:F21)</f>
        <v>178273.30895115</v>
      </c>
      <c r="G22" s="43" t="n">
        <f aca="false">SUM(G11:G21)</f>
        <v>534819.926853451</v>
      </c>
      <c r="H22" s="43" t="n">
        <f aca="false">SUM(H11:H21)</f>
        <v>713093.235804602</v>
      </c>
      <c r="I22" s="44" t="n">
        <f aca="false">SUM(I11:I21)</f>
        <v>0.500740880306304</v>
      </c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  <c r="ACK22" s="32"/>
      <c r="ACL22" s="32"/>
      <c r="ACM22" s="32"/>
      <c r="ACN22" s="32"/>
      <c r="ACO22" s="32"/>
      <c r="ACP22" s="32"/>
      <c r="ACQ22" s="32"/>
      <c r="ACR22" s="32"/>
      <c r="ACS22" s="32"/>
      <c r="ACT22" s="32"/>
      <c r="ACU22" s="32"/>
      <c r="ACV22" s="32"/>
      <c r="ACW22" s="32"/>
      <c r="ACX22" s="32"/>
      <c r="ACY22" s="32"/>
      <c r="ACZ22" s="32"/>
      <c r="ADA22" s="32"/>
      <c r="ADB22" s="32"/>
      <c r="ADC22" s="32"/>
      <c r="ADD22" s="32"/>
      <c r="ADE22" s="32"/>
      <c r="ADF22" s="32"/>
      <c r="ADG22" s="32"/>
      <c r="ADH22" s="32"/>
      <c r="ADI22" s="32"/>
      <c r="ADJ22" s="32"/>
      <c r="ADK22" s="32"/>
      <c r="ADL22" s="32"/>
      <c r="ADM22" s="32"/>
      <c r="ADN22" s="32"/>
      <c r="ADO22" s="32"/>
      <c r="ADP22" s="32"/>
      <c r="ADQ22" s="32"/>
      <c r="ADR22" s="32"/>
      <c r="ADS22" s="32"/>
      <c r="ADT22" s="32"/>
      <c r="ADU22" s="32"/>
      <c r="ADV22" s="32"/>
      <c r="ADW22" s="32"/>
      <c r="ADX22" s="32"/>
      <c r="ADY22" s="32"/>
      <c r="ADZ22" s="32"/>
      <c r="AEA22" s="32"/>
      <c r="AEB22" s="32"/>
      <c r="AEC22" s="32"/>
      <c r="AED22" s="32"/>
      <c r="AEE22" s="32"/>
      <c r="AEF22" s="32"/>
      <c r="AEG22" s="32"/>
      <c r="AEH22" s="32"/>
      <c r="AEI22" s="32"/>
      <c r="AEJ22" s="32"/>
      <c r="AEK22" s="32"/>
      <c r="AEL22" s="32"/>
      <c r="AEM22" s="32"/>
      <c r="AEN22" s="32"/>
      <c r="AEO22" s="32"/>
      <c r="AEP22" s="32"/>
      <c r="AEQ22" s="32"/>
      <c r="AER22" s="32"/>
      <c r="AES22" s="32"/>
      <c r="AET22" s="32"/>
      <c r="AEU22" s="32"/>
      <c r="AEV22" s="32"/>
      <c r="AEW22" s="32"/>
      <c r="AEX22" s="32"/>
      <c r="AEY22" s="32"/>
      <c r="AEZ22" s="32"/>
      <c r="AFA22" s="32"/>
      <c r="AFB22" s="32"/>
      <c r="AFC22" s="32"/>
      <c r="AFD22" s="32"/>
      <c r="AFE22" s="32"/>
      <c r="AFF22" s="32"/>
      <c r="AFG22" s="32"/>
      <c r="AFH22" s="32"/>
      <c r="AFI22" s="32"/>
      <c r="AFJ22" s="32"/>
      <c r="AFK22" s="32"/>
      <c r="AFL22" s="32"/>
      <c r="AFM22" s="32"/>
      <c r="AFN22" s="32"/>
      <c r="AFO22" s="32"/>
      <c r="AFP22" s="32"/>
      <c r="AFQ22" s="32"/>
      <c r="AFR22" s="32"/>
      <c r="AFS22" s="32"/>
      <c r="AFT22" s="32"/>
      <c r="AFU22" s="32"/>
      <c r="AFV22" s="32"/>
      <c r="AFW22" s="32"/>
      <c r="AFX22" s="32"/>
      <c r="AFY22" s="32"/>
      <c r="AFZ22" s="32"/>
      <c r="AGA22" s="32"/>
      <c r="AGB22" s="32"/>
      <c r="AGC22" s="32"/>
      <c r="AGD22" s="32"/>
      <c r="AGE22" s="32"/>
      <c r="AGF22" s="32"/>
      <c r="AGG22" s="32"/>
      <c r="AGH22" s="32"/>
      <c r="AGI22" s="32"/>
      <c r="AGJ22" s="32"/>
      <c r="AGK22" s="32"/>
      <c r="AGL22" s="32"/>
      <c r="AGM22" s="32"/>
      <c r="AGN22" s="32"/>
      <c r="AGO22" s="32"/>
      <c r="AGP22" s="32"/>
      <c r="AGQ22" s="32"/>
      <c r="AGR22" s="32"/>
      <c r="AGS22" s="32"/>
      <c r="AGT22" s="32"/>
      <c r="AGU22" s="32"/>
      <c r="AGV22" s="32"/>
      <c r="AGW22" s="32"/>
      <c r="AGX22" s="32"/>
      <c r="AGY22" s="32"/>
      <c r="AGZ22" s="32"/>
      <c r="AHA22" s="32"/>
      <c r="AHB22" s="32"/>
      <c r="AHC22" s="32"/>
      <c r="AHD22" s="32"/>
      <c r="AHE22" s="32"/>
      <c r="AHF22" s="32"/>
      <c r="AHG22" s="32"/>
      <c r="AHH22" s="32"/>
      <c r="AHI22" s="32"/>
      <c r="AHJ22" s="32"/>
      <c r="AHK22" s="32"/>
      <c r="AHL22" s="32"/>
      <c r="AHM22" s="32"/>
      <c r="AHN22" s="32"/>
      <c r="AHO22" s="32"/>
      <c r="AHP22" s="32"/>
      <c r="AHQ22" s="32"/>
      <c r="AHR22" s="32"/>
      <c r="AHS22" s="32"/>
      <c r="AHT22" s="32"/>
      <c r="AHU22" s="32"/>
      <c r="AHV22" s="32"/>
      <c r="AHW22" s="32"/>
      <c r="AHX22" s="32"/>
      <c r="AHY22" s="32"/>
      <c r="AHZ22" s="32"/>
      <c r="AIA22" s="32"/>
      <c r="AIB22" s="32"/>
      <c r="AIC22" s="32"/>
      <c r="AID22" s="32"/>
      <c r="AIE22" s="32"/>
      <c r="AIF22" s="32"/>
      <c r="AIG22" s="32"/>
      <c r="AIH22" s="32"/>
      <c r="AII22" s="32"/>
      <c r="AIJ22" s="32"/>
      <c r="AIK22" s="32"/>
      <c r="AIL22" s="32"/>
      <c r="AIM22" s="32"/>
      <c r="AIN22" s="32"/>
      <c r="AIO22" s="32"/>
      <c r="AIP22" s="32"/>
      <c r="AIQ22" s="32"/>
      <c r="AIR22" s="32"/>
      <c r="AIS22" s="32"/>
      <c r="AIT22" s="32"/>
      <c r="AIU22" s="32"/>
      <c r="AIV22" s="32"/>
      <c r="AIW22" s="32"/>
      <c r="AIX22" s="32"/>
      <c r="AIY22" s="32"/>
      <c r="AIZ22" s="32"/>
      <c r="AJA22" s="32"/>
      <c r="AJB22" s="32"/>
      <c r="AJC22" s="32"/>
      <c r="AJD22" s="32"/>
      <c r="AJE22" s="32"/>
      <c r="AJF22" s="32"/>
      <c r="AJG22" s="32"/>
      <c r="AJH22" s="32"/>
      <c r="AJI22" s="32"/>
      <c r="AJJ22" s="32"/>
      <c r="AJK22" s="32"/>
      <c r="AJL22" s="32"/>
      <c r="AJM22" s="32"/>
      <c r="AJN22" s="32"/>
      <c r="AJO22" s="32"/>
      <c r="AJP22" s="32"/>
      <c r="AJQ22" s="32"/>
      <c r="AJR22" s="32"/>
      <c r="AJS22" s="32"/>
      <c r="AJT22" s="32"/>
      <c r="AJU22" s="32"/>
      <c r="AJV22" s="32"/>
      <c r="AJW22" s="32"/>
      <c r="AJX22" s="32"/>
      <c r="AJY22" s="32"/>
      <c r="AJZ22" s="32"/>
      <c r="AKA22" s="32"/>
      <c r="AKB22" s="32"/>
      <c r="AKC22" s="32"/>
      <c r="AKD22" s="32"/>
      <c r="AKE22" s="32"/>
      <c r="AKF22" s="32"/>
      <c r="AKG22" s="32"/>
      <c r="AKH22" s="32"/>
      <c r="AKI22" s="32"/>
      <c r="AKJ22" s="32"/>
      <c r="AKK22" s="32"/>
      <c r="AKL22" s="32"/>
      <c r="AKM22" s="32"/>
      <c r="AKN22" s="32"/>
      <c r="AKO22" s="32"/>
      <c r="AKP22" s="32"/>
      <c r="AKQ22" s="32"/>
      <c r="AKR22" s="32"/>
      <c r="AKS22" s="32"/>
      <c r="AKT22" s="32"/>
      <c r="AKU22" s="32"/>
      <c r="AKV22" s="32"/>
      <c r="AKW22" s="32"/>
      <c r="AKX22" s="32"/>
      <c r="AKY22" s="32"/>
      <c r="AKZ22" s="32"/>
      <c r="ALA22" s="32"/>
      <c r="ALB22" s="32"/>
      <c r="ALC22" s="32"/>
      <c r="ALD22" s="32"/>
      <c r="ALE22" s="32"/>
      <c r="ALF22" s="32"/>
      <c r="ALG22" s="32"/>
      <c r="ALH22" s="32"/>
      <c r="ALI22" s="32"/>
      <c r="ALJ22" s="32"/>
      <c r="ALK22" s="32"/>
      <c r="ALL22" s="32"/>
      <c r="ALM22" s="32"/>
      <c r="ALN22" s="32"/>
      <c r="ALO22" s="32"/>
      <c r="ALP22" s="32"/>
      <c r="ALQ22" s="32"/>
      <c r="ALR22" s="32"/>
      <c r="ALS22" s="32"/>
      <c r="ALT22" s="32"/>
      <c r="ALU22" s="32"/>
      <c r="ALV22" s="32"/>
      <c r="ALW22" s="32"/>
      <c r="ALX22" s="32"/>
      <c r="ALY22" s="32"/>
      <c r="ALZ22" s="32"/>
      <c r="AMA22" s="32"/>
      <c r="AMB22" s="32"/>
      <c r="AMC22" s="32"/>
      <c r="AMD22" s="32"/>
      <c r="AME22" s="32"/>
    </row>
    <row r="23" customFormat="false" ht="22.5" hidden="false" customHeight="true" outlineLevel="0" collapsed="false">
      <c r="B23" s="45"/>
      <c r="C23" s="45"/>
      <c r="D23" s="45"/>
      <c r="E23" s="45"/>
      <c r="F23" s="45"/>
      <c r="G23" s="45"/>
      <c r="H23" s="45"/>
      <c r="I23" s="46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  <c r="ACK23" s="32"/>
      <c r="ACL23" s="32"/>
      <c r="ACM23" s="32"/>
      <c r="ACN23" s="32"/>
      <c r="ACO23" s="32"/>
      <c r="ACP23" s="32"/>
      <c r="ACQ23" s="32"/>
      <c r="ACR23" s="32"/>
      <c r="ACS23" s="32"/>
      <c r="ACT23" s="32"/>
      <c r="ACU23" s="32"/>
      <c r="ACV23" s="32"/>
      <c r="ACW23" s="32"/>
      <c r="ACX23" s="32"/>
      <c r="ACY23" s="32"/>
      <c r="ACZ23" s="32"/>
      <c r="ADA23" s="32"/>
      <c r="ADB23" s="32"/>
      <c r="ADC23" s="32"/>
      <c r="ADD23" s="32"/>
      <c r="ADE23" s="32"/>
      <c r="ADF23" s="32"/>
      <c r="ADG23" s="32"/>
      <c r="ADH23" s="32"/>
      <c r="ADI23" s="32"/>
      <c r="ADJ23" s="32"/>
      <c r="ADK23" s="32"/>
      <c r="ADL23" s="32"/>
      <c r="ADM23" s="32"/>
      <c r="ADN23" s="32"/>
      <c r="ADO23" s="32"/>
      <c r="ADP23" s="32"/>
      <c r="ADQ23" s="32"/>
      <c r="ADR23" s="32"/>
      <c r="ADS23" s="32"/>
      <c r="ADT23" s="32"/>
      <c r="ADU23" s="32"/>
      <c r="ADV23" s="32"/>
      <c r="ADW23" s="32"/>
      <c r="ADX23" s="32"/>
      <c r="ADY23" s="32"/>
      <c r="ADZ23" s="32"/>
      <c r="AEA23" s="32"/>
      <c r="AEB23" s="32"/>
      <c r="AEC23" s="32"/>
      <c r="AED23" s="32"/>
      <c r="AEE23" s="32"/>
      <c r="AEF23" s="32"/>
      <c r="AEG23" s="32"/>
      <c r="AEH23" s="32"/>
      <c r="AEI23" s="32"/>
      <c r="AEJ23" s="32"/>
      <c r="AEK23" s="32"/>
      <c r="AEL23" s="32"/>
      <c r="AEM23" s="32"/>
      <c r="AEN23" s="32"/>
      <c r="AEO23" s="32"/>
      <c r="AEP23" s="32"/>
      <c r="AEQ23" s="32"/>
      <c r="AER23" s="32"/>
      <c r="AES23" s="32"/>
      <c r="AET23" s="32"/>
      <c r="AEU23" s="32"/>
      <c r="AEV23" s="32"/>
      <c r="AEW23" s="32"/>
      <c r="AEX23" s="32"/>
      <c r="AEY23" s="32"/>
      <c r="AEZ23" s="32"/>
      <c r="AFA23" s="32"/>
      <c r="AFB23" s="32"/>
      <c r="AFC23" s="32"/>
      <c r="AFD23" s="32"/>
      <c r="AFE23" s="32"/>
      <c r="AFF23" s="32"/>
      <c r="AFG23" s="32"/>
      <c r="AFH23" s="32"/>
      <c r="AFI23" s="32"/>
      <c r="AFJ23" s="32"/>
      <c r="AFK23" s="32"/>
      <c r="AFL23" s="32"/>
      <c r="AFM23" s="32"/>
      <c r="AFN23" s="32"/>
      <c r="AFO23" s="32"/>
      <c r="AFP23" s="32"/>
      <c r="AFQ23" s="32"/>
      <c r="AFR23" s="32"/>
      <c r="AFS23" s="32"/>
      <c r="AFT23" s="32"/>
      <c r="AFU23" s="32"/>
      <c r="AFV23" s="32"/>
      <c r="AFW23" s="32"/>
      <c r="AFX23" s="32"/>
      <c r="AFY23" s="32"/>
      <c r="AFZ23" s="32"/>
      <c r="AGA23" s="32"/>
      <c r="AGB23" s="32"/>
      <c r="AGC23" s="32"/>
      <c r="AGD23" s="32"/>
      <c r="AGE23" s="32"/>
      <c r="AGF23" s="32"/>
      <c r="AGG23" s="32"/>
      <c r="AGH23" s="32"/>
      <c r="AGI23" s="32"/>
      <c r="AGJ23" s="32"/>
      <c r="AGK23" s="32"/>
      <c r="AGL23" s="32"/>
      <c r="AGM23" s="32"/>
      <c r="AGN23" s="32"/>
      <c r="AGO23" s="32"/>
      <c r="AGP23" s="32"/>
      <c r="AGQ23" s="32"/>
      <c r="AGR23" s="32"/>
      <c r="AGS23" s="32"/>
      <c r="AGT23" s="32"/>
      <c r="AGU23" s="32"/>
      <c r="AGV23" s="32"/>
      <c r="AGW23" s="32"/>
      <c r="AGX23" s="32"/>
      <c r="AGY23" s="32"/>
      <c r="AGZ23" s="32"/>
      <c r="AHA23" s="32"/>
      <c r="AHB23" s="32"/>
      <c r="AHC23" s="32"/>
      <c r="AHD23" s="32"/>
      <c r="AHE23" s="32"/>
      <c r="AHF23" s="32"/>
      <c r="AHG23" s="32"/>
      <c r="AHH23" s="32"/>
      <c r="AHI23" s="32"/>
      <c r="AHJ23" s="32"/>
      <c r="AHK23" s="32"/>
      <c r="AHL23" s="32"/>
      <c r="AHM23" s="32"/>
      <c r="AHN23" s="32"/>
      <c r="AHO23" s="32"/>
      <c r="AHP23" s="32"/>
      <c r="AHQ23" s="32"/>
      <c r="AHR23" s="32"/>
      <c r="AHS23" s="32"/>
      <c r="AHT23" s="32"/>
      <c r="AHU23" s="32"/>
      <c r="AHV23" s="32"/>
      <c r="AHW23" s="32"/>
      <c r="AHX23" s="32"/>
      <c r="AHY23" s="32"/>
      <c r="AHZ23" s="32"/>
      <c r="AIA23" s="32"/>
      <c r="AIB23" s="32"/>
      <c r="AIC23" s="32"/>
      <c r="AID23" s="32"/>
      <c r="AIE23" s="32"/>
      <c r="AIF23" s="32"/>
      <c r="AIG23" s="32"/>
      <c r="AIH23" s="32"/>
      <c r="AII23" s="32"/>
      <c r="AIJ23" s="32"/>
      <c r="AIK23" s="32"/>
      <c r="AIL23" s="32"/>
      <c r="AIM23" s="32"/>
      <c r="AIN23" s="32"/>
      <c r="AIO23" s="32"/>
      <c r="AIP23" s="32"/>
      <c r="AIQ23" s="32"/>
      <c r="AIR23" s="32"/>
      <c r="AIS23" s="32"/>
      <c r="AIT23" s="32"/>
      <c r="AIU23" s="32"/>
      <c r="AIV23" s="32"/>
      <c r="AIW23" s="32"/>
      <c r="AIX23" s="32"/>
      <c r="AIY23" s="32"/>
      <c r="AIZ23" s="32"/>
      <c r="AJA23" s="32"/>
      <c r="AJB23" s="32"/>
      <c r="AJC23" s="32"/>
      <c r="AJD23" s="32"/>
      <c r="AJE23" s="32"/>
      <c r="AJF23" s="32"/>
      <c r="AJG23" s="32"/>
      <c r="AJH23" s="32"/>
      <c r="AJI23" s="32"/>
      <c r="AJJ23" s="32"/>
      <c r="AJK23" s="32"/>
      <c r="AJL23" s="32"/>
      <c r="AJM23" s="32"/>
      <c r="AJN23" s="32"/>
      <c r="AJO23" s="32"/>
      <c r="AJP23" s="32"/>
      <c r="AJQ23" s="32"/>
      <c r="AJR23" s="32"/>
      <c r="AJS23" s="32"/>
      <c r="AJT23" s="32"/>
      <c r="AJU23" s="32"/>
      <c r="AJV23" s="32"/>
      <c r="AJW23" s="32"/>
      <c r="AJX23" s="32"/>
      <c r="AJY23" s="32"/>
      <c r="AJZ23" s="32"/>
      <c r="AKA23" s="32"/>
      <c r="AKB23" s="32"/>
      <c r="AKC23" s="32"/>
      <c r="AKD23" s="32"/>
      <c r="AKE23" s="32"/>
      <c r="AKF23" s="32"/>
      <c r="AKG23" s="32"/>
      <c r="AKH23" s="32"/>
      <c r="AKI23" s="32"/>
      <c r="AKJ23" s="32"/>
      <c r="AKK23" s="32"/>
      <c r="AKL23" s="32"/>
      <c r="AKM23" s="32"/>
      <c r="AKN23" s="32"/>
      <c r="AKO23" s="32"/>
      <c r="AKP23" s="32"/>
      <c r="AKQ23" s="32"/>
      <c r="AKR23" s="32"/>
      <c r="AKS23" s="32"/>
      <c r="AKT23" s="32"/>
      <c r="AKU23" s="32"/>
      <c r="AKV23" s="32"/>
      <c r="AKW23" s="32"/>
      <c r="AKX23" s="32"/>
      <c r="AKY23" s="32"/>
      <c r="AKZ23" s="32"/>
      <c r="ALA23" s="32"/>
      <c r="ALB23" s="32"/>
      <c r="ALC23" s="32"/>
      <c r="ALD23" s="32"/>
      <c r="ALE23" s="32"/>
      <c r="ALF23" s="32"/>
      <c r="ALG23" s="32"/>
      <c r="ALH23" s="32"/>
      <c r="ALI23" s="32"/>
      <c r="ALJ23" s="32"/>
      <c r="ALK23" s="32"/>
      <c r="ALL23" s="32"/>
      <c r="ALM23" s="32"/>
      <c r="ALN23" s="32"/>
      <c r="ALO23" s="32"/>
      <c r="ALP23" s="32"/>
      <c r="ALQ23" s="32"/>
      <c r="ALR23" s="32"/>
      <c r="ALS23" s="32"/>
      <c r="ALT23" s="32"/>
      <c r="ALU23" s="32"/>
      <c r="ALV23" s="32"/>
      <c r="ALW23" s="32"/>
      <c r="ALX23" s="32"/>
      <c r="ALY23" s="32"/>
      <c r="ALZ23" s="32"/>
      <c r="AMA23" s="32"/>
      <c r="AMB23" s="32"/>
      <c r="AMC23" s="32"/>
      <c r="AMD23" s="32"/>
      <c r="AME23" s="32"/>
    </row>
    <row r="24" customFormat="false" ht="27.75" hidden="false" customHeight="true" outlineLevel="0" collapsed="false">
      <c r="A24" s="32"/>
      <c r="B24" s="36" t="str">
        <f aca="false">"BASE "&amp;B6</f>
        <v>BASE JOINVILLE</v>
      </c>
      <c r="C24" s="37" t="s">
        <v>23</v>
      </c>
      <c r="D24" s="37"/>
      <c r="E24" s="37"/>
      <c r="F24" s="37" t="s">
        <v>24</v>
      </c>
      <c r="G24" s="37"/>
      <c r="H24" s="37"/>
      <c r="I24" s="38" t="s">
        <v>25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9"/>
    </row>
    <row r="25" customFormat="false" ht="22.5" hidden="false" customHeight="true" outlineLevel="0" collapsed="false">
      <c r="A25" s="32"/>
      <c r="B25" s="36"/>
      <c r="C25" s="40" t="s">
        <v>26</v>
      </c>
      <c r="D25" s="40" t="s">
        <v>27</v>
      </c>
      <c r="E25" s="40" t="s">
        <v>28</v>
      </c>
      <c r="F25" s="41" t="s">
        <v>26</v>
      </c>
      <c r="G25" s="41" t="s">
        <v>27</v>
      </c>
      <c r="H25" s="41" t="s">
        <v>28</v>
      </c>
      <c r="I25" s="41" t="s">
        <v>29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9"/>
    </row>
    <row r="26" customFormat="false" ht="16.5" hidden="false" customHeight="true" outlineLevel="0" collapsed="false">
      <c r="B26" s="29" t="str">
        <f aca="false">'Base Joinville'!B7</f>
        <v>APS CANOINHAS</v>
      </c>
      <c r="C26" s="31" t="n">
        <f aca="false">'Base Joinville'!AO7</f>
        <v>2480.22273144819</v>
      </c>
      <c r="D26" s="31" t="n">
        <f aca="false">C26*3</f>
        <v>7440.66819434458</v>
      </c>
      <c r="E26" s="31" t="n">
        <f aca="false">C26+D26</f>
        <v>9920.89092579278</v>
      </c>
      <c r="F26" s="31" t="n">
        <f aca="false">C26*12</f>
        <v>29762.6727773783</v>
      </c>
      <c r="G26" s="31" t="n">
        <f aca="false">F26*3</f>
        <v>89288.018332135</v>
      </c>
      <c r="H26" s="31" t="n">
        <f aca="false">F26+G26</f>
        <v>119050.691109513</v>
      </c>
      <c r="I26" s="42" t="n">
        <f aca="false">F26/$E$7</f>
        <v>0.0835985322452092</v>
      </c>
    </row>
    <row r="27" customFormat="false" ht="16.5" hidden="false" customHeight="true" outlineLevel="0" collapsed="false">
      <c r="B27" s="29" t="str">
        <f aca="false">'Base Joinville'!B8</f>
        <v>APS GUARAMIRIM</v>
      </c>
      <c r="C27" s="31" t="n">
        <f aca="false">'Base Joinville'!AO8</f>
        <v>1084.89937195539</v>
      </c>
      <c r="D27" s="31" t="n">
        <f aca="false">C27*3</f>
        <v>3254.69811586616</v>
      </c>
      <c r="E27" s="31" t="n">
        <f aca="false">C27+D27</f>
        <v>4339.59748782154</v>
      </c>
      <c r="F27" s="31" t="n">
        <f aca="false">C27*12</f>
        <v>13018.7924634646</v>
      </c>
      <c r="G27" s="31" t="n">
        <f aca="false">F27*3</f>
        <v>39056.3773903939</v>
      </c>
      <c r="H27" s="31" t="n">
        <f aca="false">F27+G27</f>
        <v>52075.1698538585</v>
      </c>
      <c r="I27" s="42" t="n">
        <f aca="false">F27/$E$7</f>
        <v>0.0365676815953793</v>
      </c>
    </row>
    <row r="28" customFormat="false" ht="16.5" hidden="false" customHeight="true" outlineLevel="0" collapsed="false">
      <c r="B28" s="29" t="str">
        <f aca="false">'Base Joinville'!B9</f>
        <v>APS JARAGUÁ DO SUL</v>
      </c>
      <c r="C28" s="31" t="n">
        <f aca="false">'Base Joinville'!AO9</f>
        <v>1761.32725357951</v>
      </c>
      <c r="D28" s="31" t="n">
        <f aca="false">C28*3</f>
        <v>5283.98176073853</v>
      </c>
      <c r="E28" s="31" t="n">
        <f aca="false">C28+D28</f>
        <v>7045.30901431804</v>
      </c>
      <c r="F28" s="31" t="n">
        <f aca="false">C28*12</f>
        <v>21135.9270429541</v>
      </c>
      <c r="G28" s="31" t="n">
        <f aca="false">F28*3</f>
        <v>63407.7811288623</v>
      </c>
      <c r="H28" s="31" t="n">
        <f aca="false">F28+G28</f>
        <v>84543.7081718164</v>
      </c>
      <c r="I28" s="42" t="n">
        <f aca="false">F28/$E$7</f>
        <v>0.0593673992806109</v>
      </c>
    </row>
    <row r="29" customFormat="false" ht="16.5" hidden="false" customHeight="true" outlineLevel="0" collapsed="false">
      <c r="B29" s="29" t="str">
        <f aca="false">'Base Joinville'!B10</f>
        <v>APS MAFRA</v>
      </c>
      <c r="C29" s="31" t="n">
        <f aca="false">'Base Joinville'!AO10</f>
        <v>1603.10830178275</v>
      </c>
      <c r="D29" s="31" t="n">
        <f aca="false">C29*3</f>
        <v>4809.32490534824</v>
      </c>
      <c r="E29" s="31" t="n">
        <f aca="false">C29+D29</f>
        <v>6412.43320713098</v>
      </c>
      <c r="F29" s="31" t="n">
        <f aca="false">C29*12</f>
        <v>19237.299621393</v>
      </c>
      <c r="G29" s="31" t="n">
        <f aca="false">F29*3</f>
        <v>57711.8988641789</v>
      </c>
      <c r="H29" s="31" t="n">
        <f aca="false">F29+G29</f>
        <v>76949.1984855718</v>
      </c>
      <c r="I29" s="42" t="n">
        <f aca="false">F29/$E$7</f>
        <v>0.0540344620504688</v>
      </c>
    </row>
    <row r="30" customFormat="false" ht="16.5" hidden="false" customHeight="true" outlineLevel="0" collapsed="false">
      <c r="B30" s="29" t="str">
        <f aca="false">'Base Joinville'!B11</f>
        <v>APS RIO NEGRO</v>
      </c>
      <c r="C30" s="31" t="n">
        <f aca="false">'Base Joinville'!AO11</f>
        <v>1281.93053293026</v>
      </c>
      <c r="D30" s="31" t="n">
        <f aca="false">C30*3</f>
        <v>3845.79159879076</v>
      </c>
      <c r="E30" s="31" t="n">
        <f aca="false">C30+D30</f>
        <v>5127.72213172102</v>
      </c>
      <c r="F30" s="31" t="n">
        <f aca="false">C30*12</f>
        <v>15383.1663951631</v>
      </c>
      <c r="G30" s="31" t="n">
        <f aca="false">F30*3</f>
        <v>46149.4991854892</v>
      </c>
      <c r="H30" s="31" t="n">
        <f aca="false">F30+G30</f>
        <v>61532.6655806522</v>
      </c>
      <c r="I30" s="42" t="n">
        <f aca="false">F30/$E$7</f>
        <v>0.0432088254149309</v>
      </c>
    </row>
    <row r="31" customFormat="false" ht="16.5" hidden="false" customHeight="true" outlineLevel="0" collapsed="false">
      <c r="B31" s="29" t="str">
        <f aca="false">'Base Joinville'!B12</f>
        <v>APS SÃO BENTO DO SUL</v>
      </c>
      <c r="C31" s="31" t="n">
        <f aca="false">'Base Joinville'!AO12</f>
        <v>1928.79442338222</v>
      </c>
      <c r="D31" s="31" t="n">
        <f aca="false">C31*3</f>
        <v>5786.38327014665</v>
      </c>
      <c r="E31" s="31" t="n">
        <f aca="false">C31+D31</f>
        <v>7715.17769352887</v>
      </c>
      <c r="F31" s="31" t="n">
        <f aca="false">C31*12</f>
        <v>23145.5330805866</v>
      </c>
      <c r="G31" s="31" t="n">
        <f aca="false">F31*3</f>
        <v>69436.5992417598</v>
      </c>
      <c r="H31" s="31" t="n">
        <f aca="false">F31+G31</f>
        <v>92582.1323223464</v>
      </c>
      <c r="I31" s="42" t="n">
        <f aca="false">F31/$E$7</f>
        <v>0.0650120574870096</v>
      </c>
    </row>
    <row r="32" customFormat="false" ht="16.5" hidden="false" customHeight="true" outlineLevel="0" collapsed="false">
      <c r="B32" s="29" t="str">
        <f aca="false">'Base Joinville'!B13</f>
        <v>APS SÃO FRANCISCO DO SUL</v>
      </c>
      <c r="C32" s="31" t="n">
        <f aca="false">'Base Joinville'!AO13</f>
        <v>1240.26380789303</v>
      </c>
      <c r="D32" s="31" t="n">
        <f aca="false">C32*3</f>
        <v>3720.79142367908</v>
      </c>
      <c r="E32" s="31" t="n">
        <f aca="false">C32+D32</f>
        <v>4961.05523157211</v>
      </c>
      <c r="F32" s="31" t="n">
        <f aca="false">C32*12</f>
        <v>14883.1656947163</v>
      </c>
      <c r="G32" s="31" t="n">
        <f aca="false">F32*3</f>
        <v>44649.497084149</v>
      </c>
      <c r="H32" s="31" t="n">
        <f aca="false">F32+G32</f>
        <v>59532.6627788653</v>
      </c>
      <c r="I32" s="42" t="n">
        <f aca="false">F32/$E$7</f>
        <v>0.041804404347254</v>
      </c>
    </row>
    <row r="33" customFormat="false" ht="16.5" hidden="false" customHeight="true" outlineLevel="0" collapsed="false">
      <c r="B33" s="29" t="str">
        <f aca="false">'Base Joinville'!B14</f>
        <v>GEX/APS JOINVILLE</v>
      </c>
      <c r="C33" s="31" t="n">
        <f aca="false">'Base Joinville'!AO14</f>
        <v>2100.93213811865</v>
      </c>
      <c r="D33" s="31" t="n">
        <f aca="false">C33*3</f>
        <v>6302.79641435594</v>
      </c>
      <c r="E33" s="31" t="n">
        <f aca="false">C33+D33</f>
        <v>8403.72855247459</v>
      </c>
      <c r="F33" s="31" t="n">
        <f aca="false">C33*12</f>
        <v>25211.1856574238</v>
      </c>
      <c r="G33" s="31" t="n">
        <f aca="false">F33*3</f>
        <v>75633.5569722713</v>
      </c>
      <c r="H33" s="31" t="n">
        <f aca="false">F33+G33</f>
        <v>100844.742629695</v>
      </c>
      <c r="I33" s="42" t="n">
        <f aca="false">F33/$E$7</f>
        <v>0.0708141413537306</v>
      </c>
    </row>
    <row r="34" customFormat="false" ht="16.5" hidden="false" customHeight="true" outlineLevel="0" collapsed="false">
      <c r="B34" s="29" t="str">
        <f aca="false">'Base Joinville'!B15</f>
        <v>DEPÓSITO JOINVILLE - GUANABARA</v>
      </c>
      <c r="C34" s="31" t="n">
        <f aca="false">'Base Joinville'!AO15</f>
        <v>1330.66926364749</v>
      </c>
      <c r="D34" s="31" t="n">
        <f aca="false">C34*3</f>
        <v>3992.00779094246</v>
      </c>
      <c r="E34" s="31" t="n">
        <f aca="false">C34+D34</f>
        <v>5322.67705458995</v>
      </c>
      <c r="F34" s="31" t="n">
        <f aca="false">C34*12</f>
        <v>15968.0311637699</v>
      </c>
      <c r="G34" s="31" t="n">
        <f aca="false">F34*3</f>
        <v>47904.0934913096</v>
      </c>
      <c r="H34" s="31" t="n">
        <f aca="false">F34+G34</f>
        <v>63872.1246550794</v>
      </c>
      <c r="I34" s="42" t="n">
        <f aca="false">F34/$E$7</f>
        <v>0.0448516159191031</v>
      </c>
    </row>
    <row r="35" customFormat="false" ht="22.5" hidden="false" customHeight="true" outlineLevel="0" collapsed="false">
      <c r="B35" s="47" t="str">
        <f aca="false">"Total Base "&amp;B6</f>
        <v>Total Base JOINVILLE</v>
      </c>
      <c r="C35" s="47" t="n">
        <f aca="false">SUM(C26:C34)</f>
        <v>14812.1478247375</v>
      </c>
      <c r="D35" s="47" t="n">
        <f aca="false">SUM(D26:D34)</f>
        <v>44436.4434742124</v>
      </c>
      <c r="E35" s="47" t="n">
        <f aca="false">SUM(E26:E34)</f>
        <v>59248.5912989499</v>
      </c>
      <c r="F35" s="47" t="n">
        <f aca="false">SUM(F26:F34)</f>
        <v>177745.77389685</v>
      </c>
      <c r="G35" s="47" t="n">
        <f aca="false">SUM(G26:G34)</f>
        <v>533237.321690549</v>
      </c>
      <c r="H35" s="47" t="n">
        <f aca="false">SUM(H26:H34)</f>
        <v>710983.095587399</v>
      </c>
      <c r="I35" s="48" t="n">
        <f aca="false">SUM(I26:I34)</f>
        <v>0.499259119693696</v>
      </c>
    </row>
    <row r="36" customFormat="false" ht="22.5" hidden="false" customHeight="true" outlineLevel="0" collapsed="false">
      <c r="B36" s="49"/>
      <c r="C36" s="45"/>
      <c r="D36" s="45"/>
      <c r="E36" s="45"/>
      <c r="F36" s="45"/>
      <c r="G36" s="45"/>
      <c r="H36" s="45"/>
      <c r="I36" s="46"/>
    </row>
  </sheetData>
  <mergeCells count="7">
    <mergeCell ref="B2:I2"/>
    <mergeCell ref="B9:B10"/>
    <mergeCell ref="C9:E9"/>
    <mergeCell ref="F9:H9"/>
    <mergeCell ref="B24:B25"/>
    <mergeCell ref="C24:E24"/>
    <mergeCell ref="F24:H24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50" t="str">
        <f aca="false">"CÁLCULO DO CUSTO DA EQUIPE TÉCNICA PARA O "&amp;'Valor da Contratação'!B7&amp;""</f>
        <v>CÁLCULO DO CUSTO DA EQUIPE TÉCNICA PARA O POLO IV</v>
      </c>
      <c r="C2" s="50"/>
      <c r="D2" s="50"/>
      <c r="E2" s="50"/>
    </row>
    <row r="3" customFormat="false" ht="15" hidden="false" customHeight="true" outlineLevel="0" collapsed="false">
      <c r="B3" s="51"/>
      <c r="C3" s="51"/>
      <c r="D3" s="51"/>
      <c r="E3" s="51"/>
    </row>
    <row r="4" customFormat="false" ht="45.75" hidden="false" customHeight="true" outlineLevel="0" collapsed="false">
      <c r="B4" s="52" t="s">
        <v>30</v>
      </c>
      <c r="C4" s="53" t="s">
        <v>31</v>
      </c>
      <c r="D4" s="53" t="s">
        <v>32</v>
      </c>
      <c r="E4" s="53" t="s">
        <v>33</v>
      </c>
    </row>
    <row r="5" customFormat="false" ht="19.5" hidden="false" customHeight="true" outlineLevel="0" collapsed="false">
      <c r="B5" s="52"/>
      <c r="C5" s="54" t="n">
        <v>131.59</v>
      </c>
      <c r="D5" s="54" t="n">
        <f aca="false">'Comp. Eng. Eletricista'!D11</f>
        <v>155.815392</v>
      </c>
      <c r="E5" s="54" t="n">
        <v>32.21</v>
      </c>
    </row>
    <row r="6" customFormat="false" ht="19.5" hidden="false" customHeight="true" outlineLevel="0" collapsed="false">
      <c r="B6" s="55" t="s">
        <v>34</v>
      </c>
      <c r="C6" s="56" t="n">
        <v>80</v>
      </c>
      <c r="D6" s="56" t="n">
        <v>16</v>
      </c>
      <c r="E6" s="56" t="n">
        <v>80</v>
      </c>
    </row>
    <row r="7" customFormat="false" ht="19.5" hidden="false" customHeight="true" outlineLevel="0" collapsed="false">
      <c r="B7" s="55" t="s">
        <v>35</v>
      </c>
      <c r="C7" s="54" t="n">
        <f aca="false">C5*C6</f>
        <v>10527.2</v>
      </c>
      <c r="D7" s="54" t="n">
        <f aca="false">D5*D6</f>
        <v>2493.046272</v>
      </c>
      <c r="E7" s="54" t="n">
        <f aca="false">E5*E6</f>
        <v>2576.8</v>
      </c>
    </row>
    <row r="8" customFormat="false" ht="19.5" hidden="false" customHeight="true" outlineLevel="0" collapsed="false">
      <c r="B8" s="55" t="s">
        <v>36</v>
      </c>
      <c r="C8" s="54" t="n">
        <f aca="false">C5*C6*12</f>
        <v>126326.4</v>
      </c>
      <c r="D8" s="54" t="n">
        <f aca="false">D5*D6*12</f>
        <v>29916.555264</v>
      </c>
      <c r="E8" s="54" t="n">
        <f aca="false">E5*E6*12</f>
        <v>30921.6</v>
      </c>
    </row>
    <row r="9" customFormat="false" ht="19.5" hidden="false" customHeight="true" outlineLevel="0" collapsed="false">
      <c r="B9" s="57" t="s">
        <v>37</v>
      </c>
      <c r="C9" s="58"/>
      <c r="D9" s="58"/>
      <c r="E9" s="58"/>
    </row>
    <row r="10" customFormat="false" ht="19.5" hidden="false" customHeight="true" outlineLevel="0" collapsed="false">
      <c r="C10" s="58"/>
      <c r="D10" s="58"/>
      <c r="E10" s="58"/>
    </row>
    <row r="11" customFormat="false" ht="19.5" hidden="false" customHeight="true" outlineLevel="0" collapsed="false">
      <c r="B11" s="52" t="s">
        <v>38</v>
      </c>
      <c r="C11" s="52"/>
      <c r="E11" s="58"/>
    </row>
    <row r="12" customFormat="false" ht="19.5" hidden="false" customHeight="true" outlineLevel="0" collapsed="false">
      <c r="B12" s="55" t="s">
        <v>39</v>
      </c>
      <c r="C12" s="54" t="n">
        <f aca="false">SUM(C7:E7)</f>
        <v>15597.046272</v>
      </c>
      <c r="E12" s="58"/>
    </row>
    <row r="13" customFormat="false" ht="19.5" hidden="false" customHeight="true" outlineLevel="0" collapsed="false">
      <c r="B13" s="55" t="s">
        <v>40</v>
      </c>
      <c r="C13" s="54" t="n">
        <f aca="false">SUM(C8:E8)</f>
        <v>187164.555264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2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P6" activeCellId="0" sqref="AP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3" width="33.62"/>
    <col collapsed="false" customWidth="true" hidden="false" outlineLevel="0" max="15" min="3" style="23" width="12.62"/>
    <col collapsed="false" customWidth="false" hidden="false" outlineLevel="0" max="16" min="16" style="23" width="8.38"/>
    <col collapsed="false" customWidth="true" hidden="false" outlineLevel="0" max="17" min="17" style="23" width="33"/>
    <col collapsed="false" customWidth="true" hidden="false" outlineLevel="0" max="33" min="18" style="23" width="11.5"/>
    <col collapsed="false" customWidth="true" hidden="false" outlineLevel="0" max="34" min="34" style="23" width="11"/>
    <col collapsed="false" customWidth="true" hidden="false" outlineLevel="0" max="35" min="35" style="23" width="33"/>
    <col collapsed="false" customWidth="true" hidden="false" outlineLevel="0" max="36" min="36" style="23" width="10.62"/>
    <col collapsed="false" customWidth="true" hidden="false" outlineLevel="0" max="40" min="37" style="23" width="11.75"/>
    <col collapsed="false" customWidth="true" hidden="false" outlineLevel="0" max="42" min="41" style="23" width="11.38"/>
    <col collapsed="false" customWidth="true" hidden="false" outlineLevel="0" max="43" min="43" style="23" width="12.88"/>
    <col collapsed="false" customWidth="true" hidden="false" outlineLevel="0" max="44" min="44" style="23" width="3.38"/>
    <col collapsed="false" customWidth="true" hidden="false" outlineLevel="0" max="45" min="45" style="23" width="28.12"/>
    <col collapsed="false" customWidth="true" hidden="false" outlineLevel="0" max="46" min="46" style="23" width="12.76"/>
    <col collapsed="false" customWidth="true" hidden="false" outlineLevel="0" max="49" min="47" style="23" width="11.75"/>
    <col collapsed="false" customWidth="true" hidden="false" outlineLevel="0" max="256" min="50" style="23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9" customFormat="true" ht="24.75" hidden="false" customHeight="true" outlineLevel="0" collapsed="false">
      <c r="B2" s="60" t="str">
        <f aca="false">"BASE "&amp;Resumo!B5&amp;" - PLANILHA DE FORMAÇÃO DE PREÇOS"</f>
        <v>BASE BLUMENAU - PLANILHA DE FORMAÇÃO DE PREÇOS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1"/>
      <c r="Q2" s="50" t="str">
        <f aca="false">"BASE "&amp;Resumo!B5&amp;" – PLANILHA DE DISTRIBUIÇÃO DE CUSTOS POR UNIDADE"</f>
        <v>BASE BLUMENAU – PLANILHA DE DISTRIBUIÇÃO DE CUSTOS POR UNIDADE</v>
      </c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62"/>
      <c r="AI2" s="63" t="str">
        <f aca="false">"BASE "&amp;Resumo!B5&amp;" – PLANILHA RESUMO DE CUSTOS DA BASE"</f>
        <v>BASE BLUMENAU – PLANILHA RESUMO DE CUSTOS DA BASE</v>
      </c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</row>
    <row r="3" customFormat="false" ht="15" hidden="false" customHeight="true" outlineLevel="0" collapsed="false">
      <c r="B3" s="59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customFormat="false" ht="19.5" hidden="false" customHeight="true" outlineLevel="0" collapsed="false">
      <c r="A4" s="39"/>
      <c r="B4" s="53" t="s">
        <v>41</v>
      </c>
      <c r="C4" s="53" t="s">
        <v>42</v>
      </c>
      <c r="D4" s="53"/>
      <c r="E4" s="53"/>
      <c r="F4" s="53"/>
      <c r="G4" s="53"/>
      <c r="H4" s="53" t="s">
        <v>43</v>
      </c>
      <c r="I4" s="53"/>
      <c r="J4" s="53"/>
      <c r="K4" s="53"/>
      <c r="L4" s="53"/>
      <c r="M4" s="53"/>
      <c r="N4" s="53"/>
      <c r="O4" s="53" t="s">
        <v>28</v>
      </c>
      <c r="P4" s="61"/>
      <c r="Q4" s="53" t="s">
        <v>44</v>
      </c>
      <c r="R4" s="64" t="s">
        <v>45</v>
      </c>
      <c r="S4" s="64"/>
      <c r="T4" s="64"/>
      <c r="U4" s="64"/>
      <c r="V4" s="64" t="s">
        <v>46</v>
      </c>
      <c r="W4" s="64"/>
      <c r="X4" s="64"/>
      <c r="Y4" s="64"/>
      <c r="Z4" s="64" t="s">
        <v>47</v>
      </c>
      <c r="AA4" s="64"/>
      <c r="AB4" s="64"/>
      <c r="AC4" s="64"/>
      <c r="AD4" s="64" t="s">
        <v>48</v>
      </c>
      <c r="AE4" s="64"/>
      <c r="AF4" s="64"/>
      <c r="AG4" s="64"/>
      <c r="AH4" s="39"/>
      <c r="AI4" s="53" t="s">
        <v>44</v>
      </c>
      <c r="AJ4" s="65" t="s">
        <v>49</v>
      </c>
      <c r="AK4" s="65"/>
      <c r="AL4" s="65"/>
      <c r="AM4" s="65"/>
      <c r="AN4" s="65"/>
      <c r="AO4" s="65" t="s">
        <v>50</v>
      </c>
      <c r="AP4" s="65"/>
      <c r="AQ4" s="65"/>
      <c r="AR4" s="66"/>
      <c r="AS4" s="65" t="str">
        <f aca="false">"Resumo de Custos da Base "&amp;Resumo!B5</f>
        <v>Resumo de Custos da Base BLUMENAU</v>
      </c>
      <c r="AT4" s="65"/>
      <c r="AU4" s="65"/>
      <c r="AV4" s="65"/>
      <c r="AW4" s="65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  <c r="IS4" s="39"/>
      <c r="IT4" s="39"/>
      <c r="IU4" s="39"/>
      <c r="IV4" s="39"/>
      <c r="IW4" s="39"/>
      <c r="IX4" s="39"/>
      <c r="IY4" s="39"/>
      <c r="IZ4" s="39"/>
      <c r="JA4" s="39"/>
      <c r="JB4" s="39"/>
      <c r="JC4" s="39"/>
      <c r="JD4" s="39"/>
      <c r="JE4" s="39"/>
      <c r="JF4" s="39"/>
      <c r="JG4" s="39"/>
      <c r="JH4" s="39"/>
      <c r="JI4" s="39"/>
      <c r="JJ4" s="39"/>
      <c r="JK4" s="39"/>
      <c r="JL4" s="39"/>
      <c r="JM4" s="39"/>
      <c r="JN4" s="39"/>
      <c r="JO4" s="39"/>
      <c r="JP4" s="39"/>
      <c r="JQ4" s="39"/>
      <c r="JR4" s="39"/>
      <c r="JS4" s="39"/>
      <c r="JT4" s="39"/>
      <c r="JU4" s="39"/>
      <c r="JV4" s="39"/>
      <c r="JW4" s="39"/>
      <c r="JX4" s="39"/>
      <c r="JY4" s="39"/>
      <c r="JZ4" s="39"/>
      <c r="KA4" s="39"/>
      <c r="KB4" s="39"/>
      <c r="KC4" s="39"/>
      <c r="KD4" s="39"/>
      <c r="KE4" s="39"/>
      <c r="KF4" s="39"/>
      <c r="KG4" s="39"/>
      <c r="KH4" s="39"/>
      <c r="KI4" s="39"/>
      <c r="KJ4" s="39"/>
      <c r="KK4" s="39"/>
      <c r="KL4" s="39"/>
      <c r="KM4" s="39"/>
      <c r="KN4" s="39"/>
      <c r="KO4" s="39"/>
      <c r="KP4" s="39"/>
      <c r="KQ4" s="39"/>
      <c r="KR4" s="39"/>
      <c r="KS4" s="39"/>
      <c r="KT4" s="39"/>
      <c r="KU4" s="39"/>
      <c r="KV4" s="39"/>
      <c r="KW4" s="39"/>
      <c r="KX4" s="39"/>
      <c r="KY4" s="39"/>
      <c r="KZ4" s="39"/>
      <c r="LA4" s="39"/>
      <c r="LB4" s="39"/>
      <c r="LC4" s="39"/>
      <c r="LD4" s="39"/>
      <c r="LE4" s="39"/>
      <c r="LF4" s="39"/>
      <c r="LG4" s="39"/>
      <c r="LH4" s="39"/>
      <c r="LI4" s="39"/>
      <c r="LJ4" s="39"/>
      <c r="LK4" s="39"/>
      <c r="LL4" s="39"/>
      <c r="LM4" s="39"/>
      <c r="LN4" s="39"/>
      <c r="LO4" s="39"/>
      <c r="LP4" s="39"/>
      <c r="LQ4" s="39"/>
      <c r="LR4" s="39"/>
      <c r="LS4" s="39"/>
      <c r="LT4" s="39"/>
      <c r="LU4" s="39"/>
      <c r="LV4" s="39"/>
      <c r="LW4" s="39"/>
      <c r="LX4" s="39"/>
      <c r="LY4" s="39"/>
      <c r="LZ4" s="39"/>
      <c r="MA4" s="39"/>
      <c r="MB4" s="39"/>
      <c r="MC4" s="39"/>
      <c r="MD4" s="39"/>
      <c r="ME4" s="39"/>
      <c r="MF4" s="39"/>
      <c r="MG4" s="39"/>
      <c r="MH4" s="39"/>
      <c r="MI4" s="39"/>
      <c r="MJ4" s="39"/>
      <c r="MK4" s="39"/>
      <c r="ML4" s="39"/>
      <c r="MM4" s="39"/>
      <c r="MN4" s="39"/>
      <c r="MO4" s="39"/>
      <c r="MP4" s="39"/>
      <c r="MQ4" s="39"/>
      <c r="MR4" s="39"/>
      <c r="MS4" s="39"/>
      <c r="MT4" s="39"/>
      <c r="MU4" s="39"/>
      <c r="MV4" s="39"/>
      <c r="MW4" s="39"/>
      <c r="MX4" s="39"/>
      <c r="MY4" s="39"/>
      <c r="MZ4" s="39"/>
      <c r="NA4" s="39"/>
      <c r="NB4" s="39"/>
      <c r="NC4" s="39"/>
      <c r="ND4" s="39"/>
      <c r="NE4" s="39"/>
      <c r="NF4" s="39"/>
      <c r="NG4" s="39"/>
      <c r="NH4" s="39"/>
      <c r="NI4" s="39"/>
      <c r="NJ4" s="39"/>
      <c r="NK4" s="39"/>
      <c r="NL4" s="39"/>
      <c r="NM4" s="39"/>
      <c r="NN4" s="39"/>
      <c r="NO4" s="39"/>
      <c r="NP4" s="39"/>
      <c r="NQ4" s="39"/>
      <c r="NR4" s="39"/>
      <c r="NS4" s="39"/>
      <c r="NT4" s="39"/>
      <c r="NU4" s="39"/>
      <c r="NV4" s="39"/>
      <c r="NW4" s="39"/>
      <c r="NX4" s="39"/>
      <c r="NY4" s="39"/>
      <c r="NZ4" s="39"/>
      <c r="OA4" s="39"/>
      <c r="OB4" s="39"/>
      <c r="OC4" s="39"/>
      <c r="OD4" s="39"/>
      <c r="OE4" s="39"/>
      <c r="OF4" s="39"/>
      <c r="OG4" s="39"/>
      <c r="OH4" s="39"/>
      <c r="OI4" s="39"/>
      <c r="OJ4" s="39"/>
      <c r="OK4" s="39"/>
      <c r="OL4" s="39"/>
      <c r="OM4" s="39"/>
      <c r="ON4" s="39"/>
      <c r="OO4" s="39"/>
      <c r="OP4" s="39"/>
      <c r="OQ4" s="39"/>
      <c r="OR4" s="39"/>
      <c r="OS4" s="39"/>
      <c r="OT4" s="39"/>
      <c r="OU4" s="39"/>
      <c r="OV4" s="39"/>
      <c r="OW4" s="39"/>
      <c r="OX4" s="39"/>
      <c r="OY4" s="39"/>
      <c r="OZ4" s="39"/>
      <c r="PA4" s="39"/>
      <c r="PB4" s="39"/>
      <c r="PC4" s="39"/>
      <c r="PD4" s="39"/>
      <c r="PE4" s="39"/>
      <c r="PF4" s="39"/>
      <c r="PG4" s="39"/>
      <c r="PH4" s="39"/>
      <c r="PI4" s="39"/>
      <c r="PJ4" s="39"/>
      <c r="PK4" s="39"/>
      <c r="PL4" s="39"/>
      <c r="PM4" s="39"/>
      <c r="PN4" s="39"/>
      <c r="PO4" s="39"/>
      <c r="PP4" s="39"/>
      <c r="PQ4" s="39"/>
      <c r="PR4" s="39"/>
      <c r="PS4" s="39"/>
      <c r="PT4" s="39"/>
      <c r="PU4" s="39"/>
      <c r="PV4" s="39"/>
      <c r="PW4" s="39"/>
      <c r="PX4" s="39"/>
      <c r="PY4" s="39"/>
      <c r="PZ4" s="39"/>
      <c r="QA4" s="39"/>
      <c r="QB4" s="39"/>
      <c r="QC4" s="39"/>
      <c r="QD4" s="39"/>
      <c r="QE4" s="39"/>
      <c r="QF4" s="39"/>
      <c r="QG4" s="39"/>
      <c r="QH4" s="39"/>
      <c r="QI4" s="39"/>
      <c r="QJ4" s="39"/>
      <c r="QK4" s="39"/>
      <c r="QL4" s="39"/>
      <c r="QM4" s="39"/>
      <c r="QN4" s="39"/>
      <c r="QO4" s="39"/>
      <c r="QP4" s="39"/>
      <c r="QQ4" s="39"/>
      <c r="QR4" s="39"/>
      <c r="QS4" s="39"/>
      <c r="QT4" s="39"/>
      <c r="QU4" s="39"/>
      <c r="QV4" s="39"/>
      <c r="QW4" s="39"/>
      <c r="QX4" s="39"/>
      <c r="QY4" s="39"/>
      <c r="QZ4" s="39"/>
      <c r="RA4" s="39"/>
      <c r="RB4" s="39"/>
      <c r="RC4" s="39"/>
      <c r="RD4" s="39"/>
      <c r="RE4" s="39"/>
      <c r="RF4" s="39"/>
      <c r="RG4" s="39"/>
      <c r="RH4" s="39"/>
      <c r="RI4" s="39"/>
      <c r="RJ4" s="39"/>
      <c r="RK4" s="39"/>
      <c r="RL4" s="39"/>
      <c r="RM4" s="39"/>
      <c r="RN4" s="39"/>
      <c r="RO4" s="39"/>
      <c r="RP4" s="39"/>
      <c r="RQ4" s="39"/>
      <c r="RR4" s="39"/>
      <c r="RS4" s="39"/>
      <c r="RT4" s="39"/>
      <c r="RU4" s="39"/>
      <c r="RV4" s="39"/>
      <c r="RW4" s="39"/>
      <c r="RX4" s="39"/>
      <c r="RY4" s="39"/>
      <c r="RZ4" s="39"/>
      <c r="SA4" s="39"/>
      <c r="SB4" s="39"/>
      <c r="SC4" s="39"/>
      <c r="SD4" s="39"/>
      <c r="SE4" s="39"/>
      <c r="SF4" s="39"/>
      <c r="SG4" s="39"/>
      <c r="SH4" s="39"/>
      <c r="SI4" s="39"/>
      <c r="SJ4" s="39"/>
      <c r="SK4" s="39"/>
      <c r="SL4" s="39"/>
      <c r="SM4" s="39"/>
      <c r="SN4" s="39"/>
      <c r="SO4" s="39"/>
      <c r="SP4" s="39"/>
      <c r="SQ4" s="39"/>
      <c r="SR4" s="39"/>
      <c r="SS4" s="39"/>
      <c r="ST4" s="39"/>
      <c r="SU4" s="39"/>
      <c r="SV4" s="39"/>
      <c r="SW4" s="39"/>
      <c r="SX4" s="39"/>
      <c r="SY4" s="39"/>
      <c r="SZ4" s="39"/>
      <c r="TA4" s="39"/>
      <c r="TB4" s="39"/>
      <c r="TC4" s="39"/>
      <c r="TD4" s="39"/>
      <c r="TE4" s="39"/>
      <c r="TF4" s="39"/>
      <c r="TG4" s="39"/>
      <c r="TH4" s="39"/>
      <c r="TI4" s="39"/>
      <c r="TJ4" s="39"/>
      <c r="TK4" s="39"/>
      <c r="TL4" s="39"/>
      <c r="TM4" s="39"/>
      <c r="TN4" s="39"/>
      <c r="TO4" s="39"/>
      <c r="TP4" s="39"/>
      <c r="TQ4" s="39"/>
      <c r="TR4" s="39"/>
      <c r="TS4" s="39"/>
      <c r="TT4" s="39"/>
      <c r="TU4" s="39"/>
      <c r="TV4" s="39"/>
      <c r="TW4" s="39"/>
      <c r="TX4" s="39"/>
      <c r="TY4" s="39"/>
      <c r="TZ4" s="39"/>
      <c r="UA4" s="39"/>
      <c r="UB4" s="39"/>
      <c r="UC4" s="39"/>
      <c r="UD4" s="39"/>
      <c r="UE4" s="39"/>
      <c r="UF4" s="39"/>
      <c r="UG4" s="39"/>
      <c r="UH4" s="39"/>
      <c r="UI4" s="39"/>
      <c r="UJ4" s="39"/>
      <c r="UK4" s="39"/>
      <c r="UL4" s="39"/>
      <c r="UM4" s="39"/>
      <c r="UN4" s="39"/>
      <c r="UO4" s="39"/>
      <c r="UP4" s="39"/>
      <c r="UQ4" s="39"/>
      <c r="UR4" s="39"/>
      <c r="US4" s="39"/>
      <c r="UT4" s="39"/>
      <c r="UU4" s="39"/>
      <c r="UV4" s="39"/>
      <c r="UW4" s="39"/>
      <c r="UX4" s="39"/>
      <c r="UY4" s="39"/>
      <c r="UZ4" s="39"/>
      <c r="VA4" s="39"/>
      <c r="VB4" s="39"/>
      <c r="VC4" s="39"/>
      <c r="VD4" s="39"/>
      <c r="VE4" s="39"/>
      <c r="VF4" s="39"/>
      <c r="VG4" s="39"/>
      <c r="VH4" s="39"/>
      <c r="VI4" s="39"/>
      <c r="VJ4" s="39"/>
      <c r="VK4" s="39"/>
      <c r="VL4" s="39"/>
      <c r="VM4" s="39"/>
      <c r="VN4" s="39"/>
      <c r="VO4" s="39"/>
      <c r="VP4" s="39"/>
      <c r="VQ4" s="39"/>
      <c r="VR4" s="39"/>
      <c r="VS4" s="39"/>
      <c r="VT4" s="39"/>
      <c r="VU4" s="39"/>
      <c r="VV4" s="39"/>
      <c r="VW4" s="39"/>
      <c r="VX4" s="39"/>
      <c r="VY4" s="39"/>
      <c r="VZ4" s="39"/>
      <c r="WA4" s="39"/>
      <c r="WB4" s="39"/>
      <c r="WC4" s="39"/>
      <c r="WD4" s="39"/>
      <c r="WE4" s="39"/>
      <c r="WF4" s="39"/>
      <c r="WG4" s="39"/>
      <c r="WH4" s="39"/>
      <c r="WI4" s="39"/>
      <c r="WJ4" s="39"/>
      <c r="WK4" s="39"/>
      <c r="WL4" s="39"/>
      <c r="WM4" s="39"/>
      <c r="WN4" s="39"/>
      <c r="WO4" s="39"/>
      <c r="WP4" s="39"/>
      <c r="WQ4" s="39"/>
      <c r="WR4" s="39"/>
      <c r="WS4" s="39"/>
      <c r="WT4" s="39"/>
      <c r="WU4" s="39"/>
      <c r="WV4" s="39"/>
      <c r="WW4" s="39"/>
      <c r="WX4" s="39"/>
      <c r="WY4" s="39"/>
      <c r="WZ4" s="39"/>
      <c r="XA4" s="39"/>
      <c r="XB4" s="39"/>
      <c r="XC4" s="39"/>
      <c r="XD4" s="39"/>
      <c r="XE4" s="39"/>
      <c r="XF4" s="39"/>
      <c r="XG4" s="39"/>
      <c r="XH4" s="39"/>
      <c r="XI4" s="39"/>
      <c r="XJ4" s="39"/>
      <c r="XK4" s="39"/>
      <c r="XL4" s="39"/>
      <c r="XM4" s="39"/>
      <c r="XN4" s="39"/>
      <c r="XO4" s="39"/>
      <c r="XP4" s="39"/>
      <c r="XQ4" s="39"/>
      <c r="XR4" s="39"/>
      <c r="XS4" s="39"/>
      <c r="XT4" s="39"/>
      <c r="XU4" s="39"/>
      <c r="XV4" s="39"/>
      <c r="XW4" s="39"/>
      <c r="XX4" s="39"/>
      <c r="XY4" s="39"/>
      <c r="XZ4" s="39"/>
      <c r="YA4" s="39"/>
      <c r="YB4" s="39"/>
      <c r="YC4" s="39"/>
      <c r="YD4" s="39"/>
      <c r="YE4" s="39"/>
      <c r="YF4" s="39"/>
      <c r="YG4" s="39"/>
      <c r="YH4" s="39"/>
      <c r="YI4" s="39"/>
      <c r="YJ4" s="39"/>
      <c r="YK4" s="39"/>
      <c r="YL4" s="39"/>
      <c r="YM4" s="39"/>
      <c r="YN4" s="39"/>
      <c r="YO4" s="39"/>
      <c r="YP4" s="39"/>
      <c r="YQ4" s="39"/>
      <c r="YR4" s="39"/>
      <c r="YS4" s="39"/>
      <c r="YT4" s="39"/>
      <c r="YU4" s="39"/>
      <c r="YV4" s="39"/>
      <c r="YW4" s="39"/>
      <c r="YX4" s="39"/>
      <c r="YY4" s="39"/>
      <c r="YZ4" s="39"/>
      <c r="ZA4" s="39"/>
      <c r="ZB4" s="39"/>
      <c r="ZC4" s="39"/>
      <c r="ZD4" s="39"/>
      <c r="ZE4" s="39"/>
      <c r="ZF4" s="39"/>
      <c r="ZG4" s="39"/>
      <c r="ZH4" s="39"/>
      <c r="ZI4" s="39"/>
      <c r="ZJ4" s="39"/>
      <c r="ZK4" s="39"/>
      <c r="ZL4" s="39"/>
      <c r="ZM4" s="39"/>
      <c r="ZN4" s="39"/>
      <c r="ZO4" s="39"/>
      <c r="ZP4" s="39"/>
      <c r="ZQ4" s="39"/>
      <c r="ZR4" s="39"/>
      <c r="ZS4" s="39"/>
      <c r="ZT4" s="39"/>
      <c r="ZU4" s="39"/>
      <c r="ZV4" s="39"/>
      <c r="ZW4" s="39"/>
      <c r="ZX4" s="39"/>
      <c r="ZY4" s="39"/>
      <c r="ZZ4" s="39"/>
      <c r="AAA4" s="39"/>
      <c r="AAB4" s="39"/>
      <c r="AAC4" s="39"/>
      <c r="AAD4" s="39"/>
      <c r="AAE4" s="39"/>
      <c r="AAF4" s="39"/>
      <c r="AAG4" s="39"/>
      <c r="AAH4" s="39"/>
      <c r="AAI4" s="39"/>
      <c r="AAJ4" s="39"/>
      <c r="AAK4" s="39"/>
      <c r="AAL4" s="39"/>
      <c r="AAM4" s="39"/>
      <c r="AAN4" s="39"/>
      <c r="AAO4" s="39"/>
      <c r="AAP4" s="39"/>
      <c r="AAQ4" s="39"/>
      <c r="AAR4" s="39"/>
      <c r="AAS4" s="39"/>
      <c r="AAT4" s="39"/>
      <c r="AAU4" s="39"/>
      <c r="AAV4" s="39"/>
      <c r="AAW4" s="39"/>
      <c r="AAX4" s="39"/>
      <c r="AAY4" s="39"/>
      <c r="AAZ4" s="39"/>
      <c r="ABA4" s="39"/>
      <c r="ABB4" s="39"/>
      <c r="ABC4" s="39"/>
      <c r="ABD4" s="39"/>
      <c r="ABE4" s="39"/>
      <c r="ABF4" s="39"/>
      <c r="ABG4" s="39"/>
      <c r="ABH4" s="39"/>
      <c r="ABI4" s="39"/>
      <c r="ABJ4" s="39"/>
      <c r="ABK4" s="39"/>
      <c r="ABL4" s="39"/>
      <c r="ABM4" s="39"/>
      <c r="ABN4" s="39"/>
      <c r="ABO4" s="39"/>
      <c r="ABP4" s="39"/>
      <c r="ABQ4" s="39"/>
      <c r="ABR4" s="39"/>
      <c r="ABS4" s="39"/>
      <c r="ABT4" s="39"/>
      <c r="ABU4" s="39"/>
      <c r="ABV4" s="39"/>
      <c r="ABW4" s="39"/>
      <c r="ABX4" s="39"/>
      <c r="ABY4" s="39"/>
      <c r="ABZ4" s="39"/>
      <c r="ACA4" s="39"/>
      <c r="ACB4" s="39"/>
      <c r="ACC4" s="39"/>
      <c r="ACD4" s="39"/>
      <c r="ACE4" s="39"/>
      <c r="ACF4" s="39"/>
      <c r="ACG4" s="39"/>
      <c r="ACH4" s="39"/>
      <c r="ACI4" s="39"/>
      <c r="ACJ4" s="39"/>
      <c r="ACK4" s="39"/>
      <c r="ACL4" s="39"/>
      <c r="ACM4" s="39"/>
      <c r="ACN4" s="39"/>
      <c r="ACO4" s="39"/>
      <c r="ACP4" s="39"/>
      <c r="ACQ4" s="39"/>
      <c r="ACR4" s="39"/>
      <c r="ACS4" s="39"/>
      <c r="ACT4" s="39"/>
      <c r="ACU4" s="39"/>
      <c r="ACV4" s="39"/>
      <c r="ACW4" s="39"/>
      <c r="ACX4" s="39"/>
      <c r="ACY4" s="39"/>
      <c r="ACZ4" s="39"/>
      <c r="ADA4" s="39"/>
      <c r="ADB4" s="39"/>
      <c r="ADC4" s="39"/>
      <c r="ADD4" s="39"/>
      <c r="ADE4" s="39"/>
      <c r="ADF4" s="39"/>
      <c r="ADG4" s="39"/>
      <c r="ADH4" s="39"/>
      <c r="ADI4" s="39"/>
      <c r="ADJ4" s="39"/>
      <c r="ADK4" s="39"/>
      <c r="ADL4" s="39"/>
      <c r="ADM4" s="39"/>
      <c r="ADN4" s="39"/>
      <c r="ADO4" s="39"/>
      <c r="ADP4" s="39"/>
      <c r="ADQ4" s="39"/>
      <c r="ADR4" s="39"/>
      <c r="ADS4" s="39"/>
      <c r="ADT4" s="39"/>
      <c r="ADU4" s="39"/>
      <c r="ADV4" s="39"/>
      <c r="ADW4" s="39"/>
      <c r="ADX4" s="39"/>
      <c r="ADY4" s="39"/>
      <c r="ADZ4" s="39"/>
      <c r="AEA4" s="39"/>
      <c r="AEB4" s="39"/>
      <c r="AEC4" s="39"/>
      <c r="AED4" s="39"/>
      <c r="AEE4" s="39"/>
      <c r="AEF4" s="39"/>
      <c r="AEG4" s="39"/>
      <c r="AEH4" s="39"/>
      <c r="AEI4" s="39"/>
      <c r="AEJ4" s="39"/>
      <c r="AEK4" s="39"/>
      <c r="AEL4" s="39"/>
      <c r="AEM4" s="39"/>
      <c r="AEN4" s="39"/>
      <c r="AEO4" s="39"/>
      <c r="AEP4" s="39"/>
      <c r="AEQ4" s="39"/>
      <c r="AER4" s="39"/>
      <c r="AES4" s="39"/>
      <c r="AET4" s="39"/>
      <c r="AEU4" s="39"/>
      <c r="AEV4" s="39"/>
      <c r="AEW4" s="39"/>
      <c r="AEX4" s="39"/>
      <c r="AEY4" s="39"/>
      <c r="AEZ4" s="39"/>
      <c r="AFA4" s="39"/>
      <c r="AFB4" s="39"/>
      <c r="AFC4" s="39"/>
      <c r="AFD4" s="39"/>
      <c r="AFE4" s="39"/>
      <c r="AFF4" s="39"/>
      <c r="AFG4" s="39"/>
      <c r="AFH4" s="39"/>
      <c r="AFI4" s="39"/>
      <c r="AFJ4" s="39"/>
      <c r="AFK4" s="39"/>
      <c r="AFL4" s="39"/>
      <c r="AFM4" s="39"/>
      <c r="AFN4" s="39"/>
      <c r="AFO4" s="39"/>
      <c r="AFP4" s="39"/>
      <c r="AFQ4" s="39"/>
      <c r="AFR4" s="39"/>
      <c r="AFS4" s="39"/>
      <c r="AFT4" s="39"/>
      <c r="AFU4" s="39"/>
      <c r="AFV4" s="39"/>
      <c r="AFW4" s="39"/>
      <c r="AFX4" s="39"/>
      <c r="AFY4" s="39"/>
      <c r="AFZ4" s="39"/>
      <c r="AGA4" s="39"/>
      <c r="AGB4" s="39"/>
      <c r="AGC4" s="39"/>
      <c r="AGD4" s="39"/>
      <c r="AGE4" s="39"/>
      <c r="AGF4" s="39"/>
      <c r="AGG4" s="39"/>
      <c r="AGH4" s="39"/>
      <c r="AGI4" s="39"/>
      <c r="AGJ4" s="39"/>
      <c r="AGK4" s="39"/>
      <c r="AGL4" s="39"/>
      <c r="AGM4" s="39"/>
      <c r="AGN4" s="39"/>
      <c r="AGO4" s="39"/>
      <c r="AGP4" s="39"/>
      <c r="AGQ4" s="39"/>
      <c r="AGR4" s="39"/>
      <c r="AGS4" s="39"/>
      <c r="AGT4" s="39"/>
      <c r="AGU4" s="39"/>
      <c r="AGV4" s="39"/>
      <c r="AGW4" s="39"/>
      <c r="AGX4" s="39"/>
      <c r="AGY4" s="39"/>
      <c r="AGZ4" s="39"/>
      <c r="AHA4" s="39"/>
      <c r="AHB4" s="39"/>
      <c r="AHC4" s="39"/>
      <c r="AHD4" s="39"/>
      <c r="AHE4" s="39"/>
      <c r="AHF4" s="39"/>
      <c r="AHG4" s="39"/>
      <c r="AHH4" s="39"/>
      <c r="AHI4" s="39"/>
      <c r="AHJ4" s="39"/>
      <c r="AHK4" s="39"/>
      <c r="AHL4" s="39"/>
      <c r="AHM4" s="39"/>
      <c r="AHN4" s="39"/>
      <c r="AHO4" s="39"/>
      <c r="AHP4" s="39"/>
      <c r="AHQ4" s="39"/>
      <c r="AHR4" s="39"/>
      <c r="AHS4" s="39"/>
      <c r="AHT4" s="39"/>
      <c r="AHU4" s="39"/>
      <c r="AHV4" s="39"/>
      <c r="AHW4" s="39"/>
      <c r="AHX4" s="39"/>
      <c r="AHY4" s="39"/>
      <c r="AHZ4" s="39"/>
      <c r="AIA4" s="39"/>
      <c r="AIB4" s="39"/>
      <c r="AIC4" s="39"/>
      <c r="AID4" s="39"/>
      <c r="AIE4" s="39"/>
      <c r="AIF4" s="39"/>
      <c r="AIG4" s="39"/>
      <c r="AIH4" s="39"/>
      <c r="AII4" s="39"/>
      <c r="AIJ4" s="39"/>
      <c r="AIK4" s="39"/>
      <c r="AIL4" s="39"/>
      <c r="AIM4" s="39"/>
      <c r="AIN4" s="39"/>
      <c r="AIO4" s="39"/>
      <c r="AIP4" s="39"/>
      <c r="AIQ4" s="39"/>
      <c r="AIR4" s="39"/>
      <c r="AIS4" s="39"/>
      <c r="AIT4" s="39"/>
      <c r="AIU4" s="39"/>
      <c r="AIV4" s="39"/>
      <c r="AIW4" s="39"/>
      <c r="AIX4" s="39"/>
      <c r="AIY4" s="39"/>
      <c r="AIZ4" s="39"/>
      <c r="AJA4" s="39"/>
      <c r="AJB4" s="39"/>
      <c r="AJC4" s="39"/>
      <c r="AJD4" s="39"/>
      <c r="AJE4" s="39"/>
      <c r="AJF4" s="39"/>
      <c r="AJG4" s="39"/>
      <c r="AJH4" s="39"/>
      <c r="AJI4" s="39"/>
      <c r="AJJ4" s="39"/>
      <c r="AJK4" s="39"/>
      <c r="AJL4" s="39"/>
      <c r="AJM4" s="39"/>
      <c r="AJN4" s="39"/>
      <c r="AJO4" s="39"/>
      <c r="AJP4" s="39"/>
      <c r="AJQ4" s="39"/>
      <c r="AJR4" s="39"/>
      <c r="AJS4" s="39"/>
      <c r="AJT4" s="39"/>
      <c r="AJU4" s="39"/>
      <c r="AJV4" s="39"/>
      <c r="AJW4" s="39"/>
      <c r="AJX4" s="39"/>
      <c r="AJY4" s="39"/>
      <c r="AJZ4" s="39"/>
      <c r="AKA4" s="39"/>
      <c r="AKB4" s="39"/>
      <c r="AKC4" s="39"/>
      <c r="AKD4" s="39"/>
      <c r="AKE4" s="39"/>
      <c r="AKF4" s="39"/>
      <c r="AKG4" s="39"/>
      <c r="AKH4" s="39"/>
      <c r="AKI4" s="39"/>
      <c r="AKJ4" s="39"/>
      <c r="AKK4" s="39"/>
      <c r="AKL4" s="39"/>
      <c r="AKM4" s="39"/>
      <c r="AKN4" s="39"/>
      <c r="AKO4" s="39"/>
      <c r="AKP4" s="39"/>
      <c r="AKQ4" s="39"/>
      <c r="AKR4" s="39"/>
      <c r="AKS4" s="39"/>
      <c r="AKT4" s="39"/>
      <c r="AKU4" s="39"/>
      <c r="AKV4" s="39"/>
      <c r="AKW4" s="39"/>
      <c r="AKX4" s="39"/>
      <c r="AKY4" s="39"/>
      <c r="AKZ4" s="39"/>
      <c r="ALA4" s="39"/>
      <c r="ALB4" s="39"/>
      <c r="ALC4" s="39"/>
      <c r="ALD4" s="39"/>
      <c r="ALE4" s="39"/>
      <c r="ALF4" s="39"/>
      <c r="ALG4" s="39"/>
      <c r="ALH4" s="39"/>
      <c r="ALI4" s="39"/>
      <c r="ALJ4" s="39"/>
      <c r="ALK4" s="39"/>
      <c r="ALL4" s="39"/>
      <c r="ALM4" s="39"/>
      <c r="ALN4" s="39"/>
      <c r="ALO4" s="39"/>
      <c r="ALP4" s="39"/>
      <c r="ALQ4" s="39"/>
      <c r="ALR4" s="39"/>
      <c r="ALS4" s="39"/>
      <c r="ALT4" s="39"/>
      <c r="ALU4" s="39"/>
      <c r="ALV4" s="39"/>
      <c r="ALW4" s="39"/>
      <c r="ALX4" s="39"/>
    </row>
    <row r="5" customFormat="false" ht="39.75" hidden="false" customHeight="true" outlineLevel="0" collapsed="false">
      <c r="B5" s="53"/>
      <c r="C5" s="53" t="s">
        <v>28</v>
      </c>
      <c r="D5" s="53" t="s">
        <v>51</v>
      </c>
      <c r="E5" s="53" t="s">
        <v>52</v>
      </c>
      <c r="F5" s="53" t="s">
        <v>53</v>
      </c>
      <c r="G5" s="53" t="s">
        <v>54</v>
      </c>
      <c r="H5" s="53" t="s">
        <v>55</v>
      </c>
      <c r="I5" s="53" t="s">
        <v>56</v>
      </c>
      <c r="J5" s="53" t="s">
        <v>57</v>
      </c>
      <c r="K5" s="53" t="s">
        <v>58</v>
      </c>
      <c r="L5" s="53" t="s">
        <v>59</v>
      </c>
      <c r="M5" s="53" t="s">
        <v>60</v>
      </c>
      <c r="N5" s="53" t="s">
        <v>61</v>
      </c>
      <c r="O5" s="53"/>
      <c r="P5" s="61"/>
      <c r="Q5" s="53"/>
      <c r="R5" s="53" t="s">
        <v>62</v>
      </c>
      <c r="S5" s="53" t="s">
        <v>63</v>
      </c>
      <c r="T5" s="53" t="s">
        <v>64</v>
      </c>
      <c r="U5" s="53" t="s">
        <v>65</v>
      </c>
      <c r="V5" s="53" t="s">
        <v>66</v>
      </c>
      <c r="W5" s="53" t="s">
        <v>67</v>
      </c>
      <c r="X5" s="53" t="s">
        <v>68</v>
      </c>
      <c r="Y5" s="53" t="s">
        <v>69</v>
      </c>
      <c r="Z5" s="53" t="s">
        <v>70</v>
      </c>
      <c r="AA5" s="53"/>
      <c r="AB5" s="53"/>
      <c r="AC5" s="53" t="n">
        <f aca="false">N18+'Base Joinville'!N16</f>
        <v>777.5</v>
      </c>
      <c r="AD5" s="64" t="s">
        <v>62</v>
      </c>
      <c r="AE5" s="64" t="s">
        <v>63</v>
      </c>
      <c r="AF5" s="64" t="s">
        <v>64</v>
      </c>
      <c r="AG5" s="64" t="s">
        <v>65</v>
      </c>
      <c r="AI5" s="53"/>
      <c r="AJ5" s="64" t="s">
        <v>71</v>
      </c>
      <c r="AK5" s="64" t="s">
        <v>62</v>
      </c>
      <c r="AL5" s="64" t="s">
        <v>63</v>
      </c>
      <c r="AM5" s="64" t="s">
        <v>64</v>
      </c>
      <c r="AN5" s="64" t="s">
        <v>65</v>
      </c>
      <c r="AO5" s="64" t="s">
        <v>72</v>
      </c>
      <c r="AP5" s="64" t="s">
        <v>73</v>
      </c>
      <c r="AQ5" s="64" t="s">
        <v>74</v>
      </c>
      <c r="AR5" s="62"/>
      <c r="AS5" s="64" t="s">
        <v>75</v>
      </c>
      <c r="AT5" s="64" t="s">
        <v>62</v>
      </c>
      <c r="AU5" s="64" t="s">
        <v>63</v>
      </c>
      <c r="AV5" s="64" t="s">
        <v>64</v>
      </c>
      <c r="AW5" s="64" t="s">
        <v>65</v>
      </c>
    </row>
    <row r="6" customFormat="false" ht="19.5" hidden="false" customHeight="true" outlineLevel="0" collapsed="false">
      <c r="B6" s="53"/>
      <c r="C6" s="67" t="s">
        <v>76</v>
      </c>
      <c r="D6" s="67" t="n">
        <v>1</v>
      </c>
      <c r="E6" s="67" t="n">
        <v>0.35</v>
      </c>
      <c r="F6" s="67" t="n">
        <v>0.1</v>
      </c>
      <c r="G6" s="53"/>
      <c r="H6" s="67" t="n">
        <v>1</v>
      </c>
      <c r="I6" s="67" t="n">
        <v>1.2</v>
      </c>
      <c r="J6" s="67" t="n">
        <v>2</v>
      </c>
      <c r="K6" s="67" t="n">
        <v>4</v>
      </c>
      <c r="L6" s="67" t="n">
        <v>1.1</v>
      </c>
      <c r="M6" s="67" t="n">
        <v>1.1</v>
      </c>
      <c r="N6" s="53"/>
      <c r="O6" s="53"/>
      <c r="P6" s="68"/>
      <c r="Q6" s="53"/>
      <c r="R6" s="67" t="s">
        <v>77</v>
      </c>
      <c r="S6" s="67" t="s">
        <v>78</v>
      </c>
      <c r="T6" s="67" t="s">
        <v>79</v>
      </c>
      <c r="U6" s="67" t="s">
        <v>80</v>
      </c>
      <c r="V6" s="53"/>
      <c r="W6" s="53"/>
      <c r="X6" s="53"/>
      <c r="Y6" s="53"/>
      <c r="Z6" s="41" t="s">
        <v>62</v>
      </c>
      <c r="AA6" s="41" t="s">
        <v>63</v>
      </c>
      <c r="AB6" s="41" t="s">
        <v>64</v>
      </c>
      <c r="AC6" s="41" t="s">
        <v>65</v>
      </c>
      <c r="AD6" s="64"/>
      <c r="AE6" s="64"/>
      <c r="AF6" s="64"/>
      <c r="AG6" s="64"/>
      <c r="AI6" s="53"/>
      <c r="AJ6" s="64"/>
      <c r="AK6" s="64"/>
      <c r="AL6" s="64"/>
      <c r="AM6" s="64"/>
      <c r="AN6" s="64"/>
      <c r="AO6" s="64"/>
      <c r="AP6" s="64" t="n">
        <f aca="false">72.5/27.5</f>
        <v>2.63636363636364</v>
      </c>
      <c r="AQ6" s="64"/>
      <c r="AR6" s="69"/>
      <c r="AS6" s="64"/>
      <c r="AT6" s="41" t="s">
        <v>77</v>
      </c>
      <c r="AU6" s="41" t="s">
        <v>78</v>
      </c>
      <c r="AV6" s="41" t="s">
        <v>79</v>
      </c>
      <c r="AW6" s="41" t="s">
        <v>80</v>
      </c>
    </row>
    <row r="7" customFormat="false" ht="15" hidden="false" customHeight="true" outlineLevel="0" collapsed="false">
      <c r="A7" s="2"/>
      <c r="B7" s="70" t="s">
        <v>81</v>
      </c>
      <c r="C7" s="71" t="n">
        <f aca="false">VLOOKUP($B7,Unidades!$D$5:$N$24,6,FALSE())</f>
        <v>557.17</v>
      </c>
      <c r="D7" s="71" t="n">
        <f aca="false">VLOOKUP($B7,Unidades!$D$5:$N$24,7,FALSE())</f>
        <v>516.32</v>
      </c>
      <c r="E7" s="71" t="n">
        <f aca="false">VLOOKUP($B7,Unidades!$D$5:$N$24,8,FALSE())</f>
        <v>40.85</v>
      </c>
      <c r="F7" s="71" t="n">
        <f aca="false">VLOOKUP($B7,Unidades!$D$5:$N$24,9,FALSE())</f>
        <v>0</v>
      </c>
      <c r="G7" s="71" t="n">
        <f aca="false">D7+E7*$E$6+F7*$F$6</f>
        <v>530.6175</v>
      </c>
      <c r="H7" s="72" t="n">
        <f aca="false">IF(G7&lt;750,1.5,IF(G7&lt;2000,2,IF(G7&lt;4000,3,12)))</f>
        <v>1.5</v>
      </c>
      <c r="I7" s="72" t="n">
        <f aca="false">$I$6*H7</f>
        <v>1.8</v>
      </c>
      <c r="J7" s="72" t="str">
        <f aca="false">VLOOKUP($B7,Unidades!$D$5:$N$24,10,FALSE())</f>
        <v>SIM</v>
      </c>
      <c r="K7" s="72" t="str">
        <f aca="false">VLOOKUP($B7,Unidades!$D$5:$N$24,11,FALSE())</f>
        <v>NÃO</v>
      </c>
      <c r="L7" s="72" t="n">
        <f aca="false">$L$6*H7+(IF(J7="SIM",$J$6,0))</f>
        <v>3.65</v>
      </c>
      <c r="M7" s="72" t="n">
        <f aca="false">$M$6*H7+(IF(J7="SIM",$J$6,0))+(IF(K7="SIM",$K$6,0))</f>
        <v>3.65</v>
      </c>
      <c r="N7" s="72" t="n">
        <f aca="false">H7*12+I7*4+L7*2+M7</f>
        <v>36.15</v>
      </c>
      <c r="O7" s="73" t="n">
        <f aca="false">IF(K7="não", N7*(C$21+D$21),N7*(C$21+D$21)+(M7*+E$21))</f>
        <v>1970.63660263636</v>
      </c>
      <c r="P7" s="74"/>
      <c r="Q7" s="29" t="str">
        <f aca="false">B7</f>
        <v>APS BALNEÁRIO CAMBORIÚ</v>
      </c>
      <c r="R7" s="31" t="n">
        <f aca="false">H7*($C$21+$D$21)</f>
        <v>81.7691536363636</v>
      </c>
      <c r="S7" s="31" t="n">
        <f aca="false">I7*($C$21+$D$21)</f>
        <v>98.1229843636364</v>
      </c>
      <c r="T7" s="31" t="n">
        <f aca="false">L7*($C$21+$D$21)</f>
        <v>198.971607181818</v>
      </c>
      <c r="U7" s="31" t="n">
        <f aca="false">IF(K7="não",M7*($C$21+$D$21),M7*(C$21+D$21+E$21))</f>
        <v>198.971607181818</v>
      </c>
      <c r="V7" s="31" t="n">
        <f aca="false">VLOOKUP(Q7,'Desl. Base Blumenau'!$C$5:$S$15,13,FALSE())*($C$21+$D$21+$E$21*(VLOOKUP(Q7,'Desl. Base Blumenau'!$C$5:$S$15,17,FALSE())/12))</f>
        <v>68.5952344393939</v>
      </c>
      <c r="W7" s="31" t="n">
        <f aca="false">VLOOKUP(Q7,'Desl. Base Blumenau'!$C$5:$S$15,15,FALSE())*(2+(VLOOKUP(Q7,'Desl. Base Blumenau'!$C$5:$S$15,17,FALSE())/12))</f>
        <v>0</v>
      </c>
      <c r="X7" s="31" t="n">
        <f aca="false">VLOOKUP(Q7,'Desl. Base Blumenau'!$C$5:$Q$15,14,FALSE())</f>
        <v>0</v>
      </c>
      <c r="Y7" s="31" t="n">
        <f aca="false">VLOOKUP(Q7,'Desl. Base Blumenau'!$C$5:$Q$15,13,FALSE())*'Desl. Base Blumenau'!$E$20+'Desl. Base Blumenau'!$E$21*N7/12</f>
        <v>88.2530833333333</v>
      </c>
      <c r="Z7" s="31" t="n">
        <f aca="false">(H7/$AC$5)*'Equipe Técnica'!$C$13</f>
        <v>361.089174142765</v>
      </c>
      <c r="AA7" s="31" t="n">
        <f aca="false">(I7/$AC$5)*'Equipe Técnica'!$C$13</f>
        <v>433.307008971318</v>
      </c>
      <c r="AB7" s="31" t="n">
        <f aca="false">(L7/$AC$5)*'Equipe Técnica'!$C$13</f>
        <v>878.650323747396</v>
      </c>
      <c r="AC7" s="31" t="n">
        <f aca="false">(M7/$AC$5)*'Equipe Técnica'!$C$13</f>
        <v>878.650323747396</v>
      </c>
      <c r="AD7" s="31" t="n">
        <f aca="false">R7+(($V7+$W7+$X7+$Y7)*12/19)+$Z7</f>
        <v>541.920423214536</v>
      </c>
      <c r="AE7" s="31" t="n">
        <f aca="false">S7+(($V7+$W7+$X7+$Y7)*12/19)+$AA7</f>
        <v>630.492088770361</v>
      </c>
      <c r="AF7" s="31" t="n">
        <f aca="false">T7+(($V7+$W7+$X7+$Y7)*12/19)+$AB7</f>
        <v>1176.68402636462</v>
      </c>
      <c r="AG7" s="31" t="n">
        <f aca="false">U7+(($V7+$W7+$X7+$Y7)*12/19)+$AC7</f>
        <v>1176.68402636462</v>
      </c>
      <c r="AH7" s="2"/>
      <c r="AI7" s="29" t="str">
        <f aca="false">B7</f>
        <v>APS BALNEÁRIO CAMBORIÚ</v>
      </c>
      <c r="AJ7" s="75" t="n">
        <f aca="false">VLOOKUP(AI7,Unidades!D$5:H$24,5,)</f>
        <v>0.2849</v>
      </c>
      <c r="AK7" s="54" t="n">
        <f aca="false">AD7*(1+$AJ7)</f>
        <v>696.313551788357</v>
      </c>
      <c r="AL7" s="54" t="n">
        <f aca="false">AE7*(1+$AJ7)</f>
        <v>810.119284861037</v>
      </c>
      <c r="AM7" s="54" t="n">
        <f aca="false">AF7*(1+$AJ7)</f>
        <v>1511.9213054759</v>
      </c>
      <c r="AN7" s="54" t="n">
        <f aca="false">AG7*(1+$AJ7)</f>
        <v>1511.9213054759</v>
      </c>
      <c r="AO7" s="54" t="n">
        <f aca="false">((AK7*12)+(AL7*4)+(AM7*2)+AN7)/12</f>
        <v>1344.33363977768</v>
      </c>
      <c r="AP7" s="54" t="n">
        <f aca="false">AO7*$AP$6</f>
        <v>3544.15232305024</v>
      </c>
      <c r="AQ7" s="54" t="n">
        <f aca="false">AO7+AP7</f>
        <v>4888.48596282792</v>
      </c>
      <c r="AR7" s="76"/>
      <c r="AS7" s="77" t="s">
        <v>82</v>
      </c>
      <c r="AT7" s="54" t="n">
        <f aca="false">AK18</f>
        <v>8205.89671938735</v>
      </c>
      <c r="AU7" s="54" t="n">
        <f aca="false">AL18</f>
        <v>9611.82724303234</v>
      </c>
      <c r="AV7" s="54" t="n">
        <f aca="false">AM18</f>
        <v>11956.849184094</v>
      </c>
      <c r="AW7" s="54" t="n">
        <f aca="false">AN18</f>
        <v>17441.5409781848</v>
      </c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</row>
    <row r="8" customFormat="false" ht="15" hidden="false" customHeight="true" outlineLevel="0" collapsed="false">
      <c r="A8" s="2"/>
      <c r="B8" s="70" t="s">
        <v>83</v>
      </c>
      <c r="C8" s="71" t="n">
        <f aca="false">VLOOKUP($B8,Unidades!$D$5:$N$24,6,FALSE())</f>
        <v>1027.72</v>
      </c>
      <c r="D8" s="71" t="n">
        <f aca="false">VLOOKUP($B8,Unidades!$D$5:$N$24,7,FALSE())</f>
        <v>807.3</v>
      </c>
      <c r="E8" s="71" t="n">
        <f aca="false">VLOOKUP($B8,Unidades!$D$5:$N$24,8,FALSE())</f>
        <v>220.42</v>
      </c>
      <c r="F8" s="71" t="n">
        <f aca="false">VLOOKUP($B8,Unidades!$D$5:$N$24,9,FALSE())</f>
        <v>0</v>
      </c>
      <c r="G8" s="71" t="n">
        <f aca="false">D8+E8*$E$6+F8*$F$6</f>
        <v>884.447</v>
      </c>
      <c r="H8" s="72" t="n">
        <f aca="false">IF(G8&lt;750,1.5,IF(G8&lt;2000,2,IF(G8&lt;4000,3,12)))</f>
        <v>2</v>
      </c>
      <c r="I8" s="72" t="n">
        <f aca="false">$I$6*H8</f>
        <v>2.4</v>
      </c>
      <c r="J8" s="72" t="str">
        <f aca="false">VLOOKUP($B8,Unidades!$D$5:$N$24,10,FALSE())</f>
        <v>SIM</v>
      </c>
      <c r="K8" s="72" t="str">
        <f aca="false">VLOOKUP($B8,Unidades!$D$5:$N$24,11,FALSE())</f>
        <v>NÃO</v>
      </c>
      <c r="L8" s="72" t="n">
        <f aca="false">$L$6*H8+(IF(J8="SIM",$J$6,0))</f>
        <v>4.2</v>
      </c>
      <c r="M8" s="72" t="n">
        <f aca="false">$M$6*H8+(IF(J8="SIM",$J$6,0))+(IF(K8="SIM",$K$6,0))</f>
        <v>4.2</v>
      </c>
      <c r="N8" s="72" t="n">
        <f aca="false">H8*12+I8*4+L8*2+M8</f>
        <v>46.2</v>
      </c>
      <c r="O8" s="73" t="n">
        <f aca="false">IF(K8="não", N8*(C$21+D$21),N8*(C$21+D$21)+(M8*+E$21))</f>
        <v>2518.489932</v>
      </c>
      <c r="P8" s="74"/>
      <c r="Q8" s="29" t="str">
        <f aca="false">B8</f>
        <v>APS BRUSQUE</v>
      </c>
      <c r="R8" s="31" t="n">
        <f aca="false">H8*($C$21+$D$21)</f>
        <v>109.025538181818</v>
      </c>
      <c r="S8" s="31" t="n">
        <f aca="false">I8*($C$21+$D$21)</f>
        <v>130.830645818182</v>
      </c>
      <c r="T8" s="31" t="n">
        <f aca="false">L8*($C$21+$D$21)</f>
        <v>228.953630181818</v>
      </c>
      <c r="U8" s="31" t="n">
        <f aca="false">IF(K8="não",M8*($C$21+$D$21),M8*(C$21+D$21+E$21))</f>
        <v>228.953630181818</v>
      </c>
      <c r="V8" s="31" t="n">
        <f aca="false">VLOOKUP(Q8,'Desl. Base Blumenau'!$C$5:$S$15,13,FALSE())*($C$21+$D$21+$E$21*(VLOOKUP(Q8,'Desl. Base Blumenau'!$C$5:$S$15,17,FALSE())/12))</f>
        <v>68.5952344393939</v>
      </c>
      <c r="W8" s="31" t="n">
        <f aca="false">VLOOKUP(Q8,'Desl. Base Blumenau'!$C$5:$S$15,15,FALSE())*(2+(VLOOKUP(Q8,'Desl. Base Blumenau'!$C$5:$S$15,17,FALSE())/12))</f>
        <v>0</v>
      </c>
      <c r="X8" s="31" t="n">
        <f aca="false">VLOOKUP(Q8,'Desl. Base Blumenau'!$C$5:$Q$15,14,FALSE())</f>
        <v>0</v>
      </c>
      <c r="Y8" s="31" t="n">
        <f aca="false">VLOOKUP(Q8,'Desl. Base Blumenau'!$C$5:$Q$15,13,FALSE())*'Desl. Base Blumenau'!$E$20+'Desl. Base Blumenau'!$E$21*N8/12</f>
        <v>93.7470833333333</v>
      </c>
      <c r="Z8" s="31" t="n">
        <f aca="false">(H8/$AC$5)*'Equipe Técnica'!$C$13</f>
        <v>481.452232190354</v>
      </c>
      <c r="AA8" s="31" t="n">
        <f aca="false">(I8/$AC$5)*'Equipe Técnica'!$C$13</f>
        <v>577.742678628425</v>
      </c>
      <c r="AB8" s="31" t="n">
        <f aca="false">(L8/$AC$5)*'Equipe Técnica'!$C$13</f>
        <v>1011.04968759974</v>
      </c>
      <c r="AC8" s="31" t="n">
        <f aca="false">(M8/$AC$5)*'Equipe Técnica'!$C$13</f>
        <v>1011.04968759974</v>
      </c>
      <c r="AD8" s="31" t="n">
        <f aca="false">R8+(($V8+$W8+$X8+$Y8)*12/19)+$Z8</f>
        <v>693.009760544421</v>
      </c>
      <c r="AE8" s="31" t="n">
        <f aca="false">S8+(($V8+$W8+$X8+$Y8)*12/19)+$AA8</f>
        <v>811.105314618855</v>
      </c>
      <c r="AF8" s="31" t="n">
        <f aca="false">T8+(($V8+$W8+$X8+$Y8)*12/19)+$AB8</f>
        <v>1342.53530795381</v>
      </c>
      <c r="AG8" s="31" t="n">
        <f aca="false">U8+(($V8+$W8+$X8+$Y8)*12/19)+$AC8</f>
        <v>1342.53530795381</v>
      </c>
      <c r="AH8" s="2"/>
      <c r="AI8" s="29" t="str">
        <f aca="false">B8</f>
        <v>APS BRUSQUE</v>
      </c>
      <c r="AJ8" s="75" t="n">
        <f aca="false">VLOOKUP(AI8,Unidades!D$5:H$24,5,)</f>
        <v>0.2707</v>
      </c>
      <c r="AK8" s="54" t="n">
        <f aca="false">AD8*(1+$AJ8)</f>
        <v>880.607502723795</v>
      </c>
      <c r="AL8" s="54" t="n">
        <f aca="false">AE8*(1+$AJ8)</f>
        <v>1030.67152328618</v>
      </c>
      <c r="AM8" s="54" t="n">
        <f aca="false">AF8*(1+$AJ8)</f>
        <v>1705.95961581691</v>
      </c>
      <c r="AN8" s="54" t="n">
        <f aca="false">AG8*(1+$AJ8)</f>
        <v>1705.95961581691</v>
      </c>
      <c r="AO8" s="54" t="n">
        <f aca="false">((AK8*12)+(AL8*4)+(AM8*2)+AN8)/12</f>
        <v>1650.65458110675</v>
      </c>
      <c r="AP8" s="54" t="n">
        <f aca="false">AO8*$AP$6</f>
        <v>4351.72571382688</v>
      </c>
      <c r="AQ8" s="54" t="n">
        <f aca="false">AO8+AP8</f>
        <v>6002.38029493363</v>
      </c>
      <c r="AR8" s="76"/>
      <c r="AS8" s="77" t="s">
        <v>84</v>
      </c>
      <c r="AT8" s="54" t="n">
        <f aca="false">AT7*12</f>
        <v>98470.7606326482</v>
      </c>
      <c r="AU8" s="54" t="n">
        <f aca="false">AU7*4</f>
        <v>38447.3089721294</v>
      </c>
      <c r="AV8" s="54" t="n">
        <f aca="false">AV7*2</f>
        <v>23913.6983681879</v>
      </c>
      <c r="AW8" s="54" t="n">
        <f aca="false">AW7</f>
        <v>17441.5409781848</v>
      </c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</row>
    <row r="9" customFormat="false" ht="15" hidden="false" customHeight="true" outlineLevel="0" collapsed="false">
      <c r="A9" s="2"/>
      <c r="B9" s="70" t="s">
        <v>85</v>
      </c>
      <c r="C9" s="71" t="n">
        <f aca="false">VLOOKUP($B9,Unidades!$D$5:$N$24,6,FALSE())</f>
        <v>963</v>
      </c>
      <c r="D9" s="71" t="n">
        <f aca="false">VLOOKUP($B9,Unidades!$D$5:$N$24,7,FALSE())</f>
        <v>463</v>
      </c>
      <c r="E9" s="71" t="n">
        <f aca="false">VLOOKUP($B9,Unidades!$D$5:$N$24,8,FALSE())</f>
        <v>94</v>
      </c>
      <c r="F9" s="71" t="n">
        <f aca="false">VLOOKUP($B9,Unidades!$D$5:$N$24,9,FALSE())</f>
        <v>406</v>
      </c>
      <c r="G9" s="71" t="n">
        <f aca="false">D9+E9*$E$6+F9*$F$6</f>
        <v>536.5</v>
      </c>
      <c r="H9" s="72" t="n">
        <f aca="false">IF(G9&lt;750,1.5,IF(G9&lt;2000,2,IF(G9&lt;4000,3,12)))</f>
        <v>1.5</v>
      </c>
      <c r="I9" s="72" t="n">
        <f aca="false">$I$6*H9</f>
        <v>1.8</v>
      </c>
      <c r="J9" s="72" t="str">
        <f aca="false">VLOOKUP($B9,Unidades!$D$5:$N$24,10,FALSE())</f>
        <v>NÃO</v>
      </c>
      <c r="K9" s="72" t="str">
        <f aca="false">VLOOKUP($B9,Unidades!$D$5:$N$24,11,FALSE())</f>
        <v>SIM</v>
      </c>
      <c r="L9" s="72" t="n">
        <f aca="false">$L$6*H9+(IF(J9="SIM",$J$6,0))</f>
        <v>1.65</v>
      </c>
      <c r="M9" s="72" t="n">
        <f aca="false">$M$6*H9+(IF(J9="SIM",$J$6,0))+(IF(K9="SIM",$K$6,0))</f>
        <v>5.65</v>
      </c>
      <c r="N9" s="72" t="n">
        <f aca="false">H9*12+I9*4+L9*2+M9</f>
        <v>34.15</v>
      </c>
      <c r="O9" s="73" t="n">
        <f aca="false">IF(K9="não", N9*(C$21+D$21),N9*(C$21+D$21)+(M9*+E$21))</f>
        <v>2093.71306445455</v>
      </c>
      <c r="P9" s="74"/>
      <c r="Q9" s="29" t="str">
        <f aca="false">B9</f>
        <v>APS IBIRAMA</v>
      </c>
      <c r="R9" s="31" t="n">
        <f aca="false">H9*($C$21+$D$21)</f>
        <v>81.7691536363636</v>
      </c>
      <c r="S9" s="31" t="n">
        <f aca="false">I9*($C$21+$D$21)</f>
        <v>98.1229843636364</v>
      </c>
      <c r="T9" s="31" t="n">
        <f aca="false">L9*($C$21+$D$21)</f>
        <v>89.946069</v>
      </c>
      <c r="U9" s="31" t="n">
        <f aca="false">IF(K9="não",M9*($C$21+$D$21),M9*(C$21+D$21+E$21))</f>
        <v>540.099145363636</v>
      </c>
      <c r="V9" s="31" t="n">
        <f aca="false">VLOOKUP(Q9,'Desl. Base Blumenau'!$C$5:$S$15,13,FALSE())*($C$21+$D$21+$E$21*(VLOOKUP(Q9,'Desl. Base Blumenau'!$C$5:$S$15,17,FALSE())/12))</f>
        <v>98.0085732676768</v>
      </c>
      <c r="W9" s="31" t="n">
        <f aca="false">VLOOKUP(Q9,'Desl. Base Blumenau'!$C$5:$S$15,15,FALSE())*(2+(VLOOKUP(Q9,'Desl. Base Blumenau'!$C$5:$S$15,17,FALSE())/12))</f>
        <v>0</v>
      </c>
      <c r="X9" s="31" t="n">
        <f aca="false">VLOOKUP(Q9,'Desl. Base Blumenau'!$C$5:$Q$15,14,FALSE())</f>
        <v>0</v>
      </c>
      <c r="Y9" s="31" t="n">
        <f aca="false">VLOOKUP(Q9,'Desl. Base Blumenau'!$C$5:$Q$15,13,FALSE())*'Desl. Base Blumenau'!$E$20+'Desl. Base Blumenau'!$E$21*N9/12</f>
        <v>110.746083333333</v>
      </c>
      <c r="Z9" s="31" t="n">
        <f aca="false">(H9/$AC$5)*'Equipe Técnica'!$C$13</f>
        <v>361.089174142765</v>
      </c>
      <c r="AA9" s="31" t="n">
        <f aca="false">(I9/$AC$5)*'Equipe Técnica'!$C$13</f>
        <v>433.307008971318</v>
      </c>
      <c r="AB9" s="31" t="n">
        <f aca="false">(L9/$AC$5)*'Equipe Técnica'!$C$13</f>
        <v>397.198091557042</v>
      </c>
      <c r="AC9" s="31" t="n">
        <f aca="false">(M9/$AC$5)*'Equipe Técnica'!$C$13</f>
        <v>1360.10255593775</v>
      </c>
      <c r="AD9" s="31" t="n">
        <f aca="false">R9+(($V9+$W9+$X9+$Y9)*12/19)+$Z9</f>
        <v>574.703374053451</v>
      </c>
      <c r="AE9" s="31" t="n">
        <f aca="false">S9+(($V9+$W9+$X9+$Y9)*12/19)+$AA9</f>
        <v>663.275039609277</v>
      </c>
      <c r="AF9" s="31" t="n">
        <f aca="false">T9+(($V9+$W9+$X9+$Y9)*12/19)+$AB9</f>
        <v>618.989206831364</v>
      </c>
      <c r="AG9" s="31" t="n">
        <f aca="false">U9+(($V9+$W9+$X9+$Y9)*12/19)+$AC9</f>
        <v>2032.04674757571</v>
      </c>
      <c r="AH9" s="2"/>
      <c r="AI9" s="29" t="str">
        <f aca="false">B9</f>
        <v>APS IBIRAMA</v>
      </c>
      <c r="AJ9" s="75" t="n">
        <f aca="false">VLOOKUP(AI9,Unidades!D$5:H$24,5,)</f>
        <v>0.2994</v>
      </c>
      <c r="AK9" s="54" t="n">
        <f aca="false">AD9*(1+$AJ9)</f>
        <v>746.769564245054</v>
      </c>
      <c r="AL9" s="54" t="n">
        <f aca="false">AE9*(1+$AJ9)</f>
        <v>861.859586468294</v>
      </c>
      <c r="AM9" s="54" t="n">
        <f aca="false">AF9*(1+$AJ9)</f>
        <v>804.314575356674</v>
      </c>
      <c r="AN9" s="54" t="n">
        <f aca="false">AG9*(1+$AJ9)</f>
        <v>2640.44154379987</v>
      </c>
      <c r="AO9" s="54" t="n">
        <f aca="false">((AK9*12)+(AL9*4)+(AM9*2)+AN9)/12</f>
        <v>1388.14531761059</v>
      </c>
      <c r="AP9" s="54" t="n">
        <f aca="false">AO9*$AP$6</f>
        <v>3659.655837337</v>
      </c>
      <c r="AQ9" s="54" t="n">
        <f aca="false">AO9+AP9</f>
        <v>5047.80115494759</v>
      </c>
      <c r="AR9" s="76"/>
      <c r="AS9" s="76"/>
      <c r="AT9" s="78"/>
      <c r="AU9" s="78"/>
      <c r="AV9" s="78"/>
      <c r="AW9" s="78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</row>
    <row r="10" customFormat="false" ht="15" hidden="false" customHeight="true" outlineLevel="0" collapsed="false">
      <c r="A10" s="2"/>
      <c r="B10" s="70" t="s">
        <v>86</v>
      </c>
      <c r="C10" s="71" t="n">
        <f aca="false">VLOOKUP($B10,Unidades!$D$5:$N$24,6,FALSE())</f>
        <v>204.1</v>
      </c>
      <c r="D10" s="71" t="n">
        <f aca="false">VLOOKUP($B10,Unidades!$D$5:$N$24,7,FALSE())</f>
        <v>137.18</v>
      </c>
      <c r="E10" s="71" t="n">
        <f aca="false">VLOOKUP($B10,Unidades!$D$5:$N$24,8,FALSE())</f>
        <v>66.92</v>
      </c>
      <c r="F10" s="71" t="n">
        <f aca="false">VLOOKUP($B10,Unidades!$D$5:$N$24,9,FALSE())</f>
        <v>0</v>
      </c>
      <c r="G10" s="71" t="n">
        <f aca="false">D10+E10*$E$6+F10*$F$6</f>
        <v>160.602</v>
      </c>
      <c r="H10" s="72" t="n">
        <f aca="false">IF(G10&lt;750,1.5,IF(G10&lt;2000,2,IF(G10&lt;4000,3,12)))</f>
        <v>1.5</v>
      </c>
      <c r="I10" s="72" t="n">
        <f aca="false">$I$6*H10</f>
        <v>1.8</v>
      </c>
      <c r="J10" s="72" t="str">
        <f aca="false">VLOOKUP($B10,Unidades!$D$5:$N$24,10,FALSE())</f>
        <v>NÃO</v>
      </c>
      <c r="K10" s="72" t="str">
        <f aca="false">VLOOKUP($B10,Unidades!$D$5:$N$24,11,FALSE())</f>
        <v>NÃO</v>
      </c>
      <c r="L10" s="72" t="n">
        <f aca="false">$L$6*H10+(IF(J10="SIM",$J$6,0))</f>
        <v>1.65</v>
      </c>
      <c r="M10" s="72" t="n">
        <f aca="false">$M$6*H10+(IF(J10="SIM",$J$6,0))+(IF(K10="SIM",$K$6,0))</f>
        <v>1.65</v>
      </c>
      <c r="N10" s="72" t="n">
        <f aca="false">H10*12+I10*4+L10*2+M10</f>
        <v>30.15</v>
      </c>
      <c r="O10" s="73" t="n">
        <f aca="false">IF(K10="não", N10*(C$21+D$21),N10*(C$21+D$21)+(M10*+E$21))</f>
        <v>1643.55998809091</v>
      </c>
      <c r="P10" s="74"/>
      <c r="Q10" s="29" t="str">
        <f aca="false">B10</f>
        <v>APS INDAIAL</v>
      </c>
      <c r="R10" s="31" t="n">
        <f aca="false">H10*($C$21+$D$21)</f>
        <v>81.7691536363636</v>
      </c>
      <c r="S10" s="31" t="n">
        <f aca="false">I10*($C$21+$D$21)</f>
        <v>98.1229843636364</v>
      </c>
      <c r="T10" s="31" t="n">
        <f aca="false">L10*($C$21+$D$21)</f>
        <v>89.946069</v>
      </c>
      <c r="U10" s="31" t="n">
        <f aca="false">IF(K10="não",M10*($C$21+$D$21),M10*(C$21+D$21+E$21))</f>
        <v>89.946069</v>
      </c>
      <c r="V10" s="31" t="n">
        <f aca="false">VLOOKUP(Q10,'Desl. Base Blumenau'!$C$5:$S$15,13,FALSE())*($C$21+$D$21+$E$21*(VLOOKUP(Q10,'Desl. Base Blumenau'!$C$5:$S$15,17,FALSE())/12))</f>
        <v>38.6132114393939</v>
      </c>
      <c r="W10" s="31" t="n">
        <f aca="false">VLOOKUP(Q10,'Desl. Base Blumenau'!$C$5:$S$15,15,FALSE())*(2+(VLOOKUP(Q10,'Desl. Base Blumenau'!$C$5:$S$15,17,FALSE())/12))</f>
        <v>0</v>
      </c>
      <c r="X10" s="31" t="n">
        <f aca="false">VLOOKUP(Q10,'Desl. Base Blumenau'!$C$5:$Q$15,14,FALSE())</f>
        <v>0</v>
      </c>
      <c r="Y10" s="31" t="n">
        <f aca="false">VLOOKUP(Q10,'Desl. Base Blumenau'!$C$5:$Q$15,13,FALSE())*'Desl. Base Blumenau'!$E$20+'Desl. Base Blumenau'!$E$21*N10/12</f>
        <v>55.0365833333333</v>
      </c>
      <c r="Z10" s="31" t="n">
        <f aca="false">(H10/$AC$5)*'Equipe Técnica'!$C$13</f>
        <v>361.089174142765</v>
      </c>
      <c r="AA10" s="31" t="n">
        <f aca="false">(I10/$AC$5)*'Equipe Técnica'!$C$13</f>
        <v>433.307008971318</v>
      </c>
      <c r="AB10" s="31" t="n">
        <f aca="false">(L10/$AC$5)*'Equipe Técnica'!$C$13</f>
        <v>397.198091557042</v>
      </c>
      <c r="AC10" s="31" t="n">
        <f aca="false">(M10/$AC$5)*'Equipe Técnica'!$C$13</f>
        <v>397.198091557042</v>
      </c>
      <c r="AD10" s="31" t="n">
        <f aca="false">R10+(($V10+$W10+$X10+$Y10)*12/19)+$Z10</f>
        <v>502.005566582957</v>
      </c>
      <c r="AE10" s="31" t="n">
        <f aca="false">S10+(($V10+$W10+$X10+$Y10)*12/19)+$AA10</f>
        <v>590.577232138782</v>
      </c>
      <c r="AF10" s="31" t="n">
        <f aca="false">T10+(($V10+$W10+$X10+$Y10)*12/19)+$AB10</f>
        <v>546.29139936087</v>
      </c>
      <c r="AG10" s="31" t="n">
        <f aca="false">U10+(($V10+$W10+$X10+$Y10)*12/19)+$AC10</f>
        <v>546.29139936087</v>
      </c>
      <c r="AH10" s="2"/>
      <c r="AI10" s="29" t="str">
        <f aca="false">B10</f>
        <v>APS INDAIAL</v>
      </c>
      <c r="AJ10" s="75" t="n">
        <f aca="false">VLOOKUP(AI10,Unidades!D$5:H$24,5,)</f>
        <v>0.2849</v>
      </c>
      <c r="AK10" s="54" t="n">
        <f aca="false">AD10*(1+$AJ10)</f>
        <v>645.026952502441</v>
      </c>
      <c r="AL10" s="54" t="n">
        <f aca="false">AE10*(1+$AJ10)</f>
        <v>758.832685575121</v>
      </c>
      <c r="AM10" s="54" t="n">
        <f aca="false">AF10*(1+$AJ10)</f>
        <v>701.929819038782</v>
      </c>
      <c r="AN10" s="54" t="n">
        <f aca="false">AG10*(1+$AJ10)</f>
        <v>701.929819038782</v>
      </c>
      <c r="AO10" s="54" t="n">
        <f aca="false">((AK10*12)+(AL10*4)+(AM10*2)+AN10)/12</f>
        <v>1073.45363578718</v>
      </c>
      <c r="AP10" s="54" t="n">
        <f aca="false">AO10*$AP$6</f>
        <v>2830.01413071165</v>
      </c>
      <c r="AQ10" s="54" t="n">
        <f aca="false">AO10+AP10</f>
        <v>3903.46776649883</v>
      </c>
      <c r="AR10" s="76"/>
      <c r="AS10" s="79" t="s">
        <v>72</v>
      </c>
      <c r="AT10" s="54" t="n">
        <f aca="false">(SUM(AT8:AW8))/12</f>
        <v>14856.1090792625</v>
      </c>
      <c r="AU10" s="54"/>
      <c r="AV10" s="78"/>
      <c r="AW10" s="78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</row>
    <row r="11" customFormat="false" ht="15" hidden="false" customHeight="true" outlineLevel="0" collapsed="false">
      <c r="A11" s="2"/>
      <c r="B11" s="70" t="s">
        <v>87</v>
      </c>
      <c r="C11" s="71" t="n">
        <f aca="false">VLOOKUP($B11,Unidades!$D$5:$N$24,6,FALSE())</f>
        <v>3189</v>
      </c>
      <c r="D11" s="71" t="n">
        <f aca="false">VLOOKUP($B11,Unidades!$D$5:$N$24,7,FALSE())</f>
        <v>1510.13</v>
      </c>
      <c r="E11" s="71" t="n">
        <f aca="false">VLOOKUP($B11,Unidades!$D$5:$N$24,8,FALSE())</f>
        <v>678.42</v>
      </c>
      <c r="F11" s="71" t="n">
        <f aca="false">VLOOKUP($B11,Unidades!$D$5:$N$24,9,FALSE())</f>
        <v>1000.45</v>
      </c>
      <c r="G11" s="71" t="n">
        <f aca="false">D11+E11*$E$6+F11*$F$6</f>
        <v>1847.622</v>
      </c>
      <c r="H11" s="72" t="n">
        <f aca="false">IF(G11&lt;750,1.5,IF(G11&lt;2000,2,IF(G11&lt;4000,3,12)))</f>
        <v>2</v>
      </c>
      <c r="I11" s="72" t="n">
        <f aca="false">$I$6*H11</f>
        <v>2.4</v>
      </c>
      <c r="J11" s="72" t="str">
        <f aca="false">VLOOKUP($B11,Unidades!$D$5:$N$24,10,FALSE())</f>
        <v>NÃO</v>
      </c>
      <c r="K11" s="72" t="str">
        <f aca="false">VLOOKUP($B11,Unidades!$D$5:$N$24,11,FALSE())</f>
        <v>SIM</v>
      </c>
      <c r="L11" s="72" t="n">
        <f aca="false">$L$6*H11+(IF(J11="SIM",$J$6,0))</f>
        <v>2.2</v>
      </c>
      <c r="M11" s="72" t="n">
        <f aca="false">$M$6*H11+(IF(J11="SIM",$J$6,0))+(IF(K11="SIM",$K$6,0))</f>
        <v>6.2</v>
      </c>
      <c r="N11" s="72" t="n">
        <f aca="false">H11*12+I11*4+L11*2+M11</f>
        <v>44.2</v>
      </c>
      <c r="O11" s="73" t="n">
        <f aca="false">IF(K11="não", N11*(C$21+D$21),N11*(C$21+D$21)+(M11*+E$21))</f>
        <v>2664.16039381818</v>
      </c>
      <c r="P11" s="74"/>
      <c r="Q11" s="29" t="str">
        <f aca="false">B11</f>
        <v>APS ITAJAÍ</v>
      </c>
      <c r="R11" s="31" t="n">
        <f aca="false">H11*($C$21+$D$21)</f>
        <v>109.025538181818</v>
      </c>
      <c r="S11" s="31" t="n">
        <f aca="false">I11*($C$21+$D$21)</f>
        <v>130.830645818182</v>
      </c>
      <c r="T11" s="31" t="n">
        <f aca="false">L11*($C$21+$D$21)</f>
        <v>119.928092</v>
      </c>
      <c r="U11" s="31" t="n">
        <f aca="false">IF(K11="não",M11*($C$21+$D$21),M11*(C$21+D$21+E$21))</f>
        <v>592.675168363636</v>
      </c>
      <c r="V11" s="31" t="n">
        <f aca="false">VLOOKUP(Q11,'Desl. Base Blumenau'!$C$5:$S$15,13,FALSE())*($C$21+$D$21+$E$21*(VLOOKUP(Q11,'Desl. Base Blumenau'!$C$5:$S$15,17,FALSE())/12))</f>
        <v>69.0405220555556</v>
      </c>
      <c r="W11" s="31" t="n">
        <f aca="false">VLOOKUP(Q11,'Desl. Base Blumenau'!$C$5:$S$15,15,FALSE())*(2+(VLOOKUP(Q11,'Desl. Base Blumenau'!$C$5:$S$15,17,FALSE())/12))</f>
        <v>0</v>
      </c>
      <c r="X11" s="31" t="n">
        <f aca="false">VLOOKUP(Q11,'Desl. Base Blumenau'!$C$5:$Q$15,14,FALSE())</f>
        <v>0</v>
      </c>
      <c r="Y11" s="31" t="n">
        <f aca="false">VLOOKUP(Q11,'Desl. Base Blumenau'!$C$5:$Q$15,13,FALSE())*'Desl. Base Blumenau'!$E$20+'Desl. Base Blumenau'!$E$21*N11/12</f>
        <v>89.0250833333333</v>
      </c>
      <c r="Z11" s="31" t="n">
        <f aca="false">(H11/$AC$5)*'Equipe Técnica'!$C$13</f>
        <v>481.452232190354</v>
      </c>
      <c r="AA11" s="31" t="n">
        <f aca="false">(I11/$AC$5)*'Equipe Técnica'!$C$13</f>
        <v>577.742678628425</v>
      </c>
      <c r="AB11" s="31" t="n">
        <f aca="false">(L11/$AC$5)*'Equipe Técnica'!$C$13</f>
        <v>529.597455409389</v>
      </c>
      <c r="AC11" s="31" t="n">
        <f aca="false">(M11/$AC$5)*'Equipe Técnica'!$C$13</f>
        <v>1492.5019197901</v>
      </c>
      <c r="AD11" s="31" t="n">
        <f aca="false">R11+(($V11+$W11+$X11+$Y11)*12/19)+$Z11</f>
        <v>690.308679038839</v>
      </c>
      <c r="AE11" s="31" t="n">
        <f aca="false">S11+(($V11+$W11+$X11+$Y11)*12/19)+$AA11</f>
        <v>808.404233113273</v>
      </c>
      <c r="AF11" s="31" t="n">
        <f aca="false">T11+(($V11+$W11+$X11+$Y11)*12/19)+$AB11</f>
        <v>749.356456076056</v>
      </c>
      <c r="AG11" s="31" t="n">
        <f aca="false">U11+(($V11+$W11+$X11+$Y11)*12/19)+$AC11</f>
        <v>2185.0079968204</v>
      </c>
      <c r="AH11" s="2"/>
      <c r="AI11" s="29" t="str">
        <f aca="false">B11</f>
        <v>APS ITAJAÍ</v>
      </c>
      <c r="AJ11" s="75" t="n">
        <f aca="false">VLOOKUP(AI11,Unidades!D$5:H$24,5,)</f>
        <v>0.2707</v>
      </c>
      <c r="AK11" s="54" t="n">
        <f aca="false">AD11*(1+$AJ11)</f>
        <v>877.175238454652</v>
      </c>
      <c r="AL11" s="54" t="n">
        <f aca="false">AE11*(1+$AJ11)</f>
        <v>1027.23925901704</v>
      </c>
      <c r="AM11" s="54" t="n">
        <f aca="false">AF11*(1+$AJ11)</f>
        <v>952.207248735844</v>
      </c>
      <c r="AN11" s="54" t="n">
        <f aca="false">AG11*(1+$AJ11)</f>
        <v>2776.48966155968</v>
      </c>
      <c r="AO11" s="54" t="n">
        <f aca="false">((AK11*12)+(AL11*4)+(AM11*2)+AN11)/12</f>
        <v>1609.66367137961</v>
      </c>
      <c r="AP11" s="54" t="n">
        <f aca="false">AO11*$AP$6</f>
        <v>4243.65877000079</v>
      </c>
      <c r="AQ11" s="54" t="n">
        <f aca="false">AO11+AP11</f>
        <v>5853.32244138041</v>
      </c>
      <c r="AR11" s="76"/>
      <c r="AS11" s="79" t="s">
        <v>88</v>
      </c>
      <c r="AT11" s="54" t="n">
        <f aca="false">AT10*12</f>
        <v>178273.30895115</v>
      </c>
      <c r="AU11" s="54"/>
      <c r="AV11" s="78"/>
      <c r="AW11" s="78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</row>
    <row r="12" customFormat="false" ht="15" hidden="false" customHeight="true" outlineLevel="0" collapsed="false">
      <c r="A12" s="2"/>
      <c r="B12" s="70" t="s">
        <v>89</v>
      </c>
      <c r="C12" s="71" t="n">
        <f aca="false">VLOOKUP($B12,Unidades!$D$5:$N$24,6,FALSE())</f>
        <v>334.4</v>
      </c>
      <c r="D12" s="71" t="n">
        <f aca="false">VLOOKUP($B12,Unidades!$D$5:$N$24,7,FALSE())</f>
        <v>296</v>
      </c>
      <c r="E12" s="71" t="n">
        <f aca="false">VLOOKUP($B12,Unidades!$D$5:$N$24,8,FALSE())</f>
        <v>38.4</v>
      </c>
      <c r="F12" s="71" t="n">
        <f aca="false">VLOOKUP($B12,Unidades!$D$5:$N$24,9,FALSE())</f>
        <v>0</v>
      </c>
      <c r="G12" s="71" t="n">
        <f aca="false">D12+E12*$E$6+F12*$F$6</f>
        <v>309.44</v>
      </c>
      <c r="H12" s="72" t="n">
        <f aca="false">IF(G12&lt;750,1.5,IF(G12&lt;2000,2,IF(G12&lt;4000,3,12)))</f>
        <v>1.5</v>
      </c>
      <c r="I12" s="72" t="n">
        <f aca="false">$I$6*H12</f>
        <v>1.8</v>
      </c>
      <c r="J12" s="72" t="str">
        <f aca="false">VLOOKUP($B12,Unidades!$D$5:$N$24,10,FALSE())</f>
        <v>NÃO</v>
      </c>
      <c r="K12" s="72" t="str">
        <f aca="false">VLOOKUP($B12,Unidades!$D$5:$N$24,11,FALSE())</f>
        <v>NÃO</v>
      </c>
      <c r="L12" s="72" t="n">
        <f aca="false">$L$6*H12+(IF(J12="SIM",$J$6,0))</f>
        <v>1.65</v>
      </c>
      <c r="M12" s="72" t="n">
        <f aca="false">$M$6*H12+(IF(J12="SIM",$J$6,0))+(IF(K12="SIM",$K$6,0))</f>
        <v>1.65</v>
      </c>
      <c r="N12" s="72" t="n">
        <f aca="false">H12*12+I12*4+L12*2+M12</f>
        <v>30.15</v>
      </c>
      <c r="O12" s="73" t="n">
        <f aca="false">IF(K12="não", N12*(C$21+D$21),N12*(C$21+D$21)+(M12*+E$21))</f>
        <v>1643.55998809091</v>
      </c>
      <c r="P12" s="74"/>
      <c r="Q12" s="29" t="str">
        <f aca="false">B12</f>
        <v>APS PENHA</v>
      </c>
      <c r="R12" s="31" t="n">
        <f aca="false">H12*($C$21+$D$21)</f>
        <v>81.7691536363636</v>
      </c>
      <c r="S12" s="31" t="n">
        <f aca="false">I12*($C$21+$D$21)</f>
        <v>98.1229843636364</v>
      </c>
      <c r="T12" s="31" t="n">
        <f aca="false">L12*($C$21+$D$21)</f>
        <v>89.946069</v>
      </c>
      <c r="U12" s="31" t="n">
        <f aca="false">IF(K12="não",M12*($C$21+$D$21),M12*(C$21+D$21+E$21))</f>
        <v>89.946069</v>
      </c>
      <c r="V12" s="31" t="n">
        <f aca="false">VLOOKUP(Q12,'Desl. Base Blumenau'!$C$5:$S$15,13,FALSE())*($C$21+$D$21+$E$21*(VLOOKUP(Q12,'Desl. Base Blumenau'!$C$5:$S$15,17,FALSE())/12))</f>
        <v>69.0405220555556</v>
      </c>
      <c r="W12" s="31" t="n">
        <f aca="false">VLOOKUP(Q12,'Desl. Base Blumenau'!$C$5:$S$15,15,FALSE())*(2+(VLOOKUP(Q12,'Desl. Base Blumenau'!$C$5:$S$15,17,FALSE())/12))</f>
        <v>0</v>
      </c>
      <c r="X12" s="31" t="n">
        <f aca="false">VLOOKUP(Q12,'Desl. Base Blumenau'!$C$5:$Q$15,14,FALSE())</f>
        <v>0</v>
      </c>
      <c r="Y12" s="31" t="n">
        <f aca="false">VLOOKUP(Q12,'Desl. Base Blumenau'!$C$5:$Q$15,13,FALSE())*'Desl. Base Blumenau'!$E$20+'Desl. Base Blumenau'!$E$21*N12/12</f>
        <v>81.3444166666667</v>
      </c>
      <c r="Z12" s="31" t="n">
        <f aca="false">(H12/$AC$5)*'Equipe Técnica'!$C$13</f>
        <v>361.089174142765</v>
      </c>
      <c r="AA12" s="31" t="n">
        <f aca="false">(I12/$AC$5)*'Equipe Técnica'!$C$13</f>
        <v>433.307008971318</v>
      </c>
      <c r="AB12" s="31" t="n">
        <f aca="false">(L12/$AC$5)*'Equipe Técnica'!$C$13</f>
        <v>397.198091557042</v>
      </c>
      <c r="AC12" s="31" t="n">
        <f aca="false">(M12/$AC$5)*'Equipe Técnica'!$C$13</f>
        <v>397.198091557042</v>
      </c>
      <c r="AD12" s="31" t="n">
        <f aca="false">R12+(($V12+$W12+$X12+$Y12)*12/19)+$Z12</f>
        <v>537.838289077375</v>
      </c>
      <c r="AE12" s="31" t="n">
        <f aca="false">S12+(($V12+$W12+$X12+$Y12)*12/19)+$AA12</f>
        <v>626.4099546332</v>
      </c>
      <c r="AF12" s="31" t="n">
        <f aca="false">T12+(($V12+$W12+$X12+$Y12)*12/19)+$AB12</f>
        <v>582.124121855288</v>
      </c>
      <c r="AG12" s="31" t="n">
        <f aca="false">U12+(($V12+$W12+$X12+$Y12)*12/19)+$AC12</f>
        <v>582.124121855288</v>
      </c>
      <c r="AH12" s="2"/>
      <c r="AI12" s="29" t="str">
        <f aca="false">B12</f>
        <v>APS PENHA</v>
      </c>
      <c r="AJ12" s="75" t="n">
        <f aca="false">VLOOKUP(AI12,Unidades!D$5:H$24,5,)</f>
        <v>0.2707</v>
      </c>
      <c r="AK12" s="54" t="n">
        <f aca="false">AD12*(1+$AJ12)</f>
        <v>683.43111393062</v>
      </c>
      <c r="AL12" s="54" t="n">
        <f aca="false">AE12*(1+$AJ12)</f>
        <v>795.979129352408</v>
      </c>
      <c r="AM12" s="54" t="n">
        <f aca="false">AF12*(1+$AJ12)</f>
        <v>739.705121641514</v>
      </c>
      <c r="AN12" s="54" t="n">
        <f aca="false">AG12*(1+$AJ12)</f>
        <v>739.705121641514</v>
      </c>
      <c r="AO12" s="54" t="n">
        <f aca="false">((AK12*12)+(AL12*4)+(AM12*2)+AN12)/12</f>
        <v>1133.6837707918</v>
      </c>
      <c r="AP12" s="54" t="n">
        <f aca="false">AO12*$AP$6</f>
        <v>2988.80266845111</v>
      </c>
      <c r="AQ12" s="54" t="n">
        <f aca="false">AO12+AP12</f>
        <v>4122.48643924291</v>
      </c>
      <c r="AR12" s="76"/>
      <c r="AS12" s="79" t="s">
        <v>73</v>
      </c>
      <c r="AT12" s="54" t="n">
        <f aca="false">AP18</f>
        <v>39166.1057544194</v>
      </c>
      <c r="AU12" s="54"/>
      <c r="AV12" s="76"/>
      <c r="AW12" s="76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</row>
    <row r="13" customFormat="false" ht="15" hidden="false" customHeight="true" outlineLevel="0" collapsed="false">
      <c r="A13" s="2"/>
      <c r="B13" s="70" t="s">
        <v>90</v>
      </c>
      <c r="C13" s="71" t="n">
        <f aca="false">VLOOKUP($B13,Unidades!$D$5:$N$24,6,FALSE())</f>
        <v>334.4</v>
      </c>
      <c r="D13" s="71" t="n">
        <f aca="false">VLOOKUP($B13,Unidades!$D$5:$N$24,7,FALSE())</f>
        <v>296</v>
      </c>
      <c r="E13" s="71" t="n">
        <f aca="false">VLOOKUP($B13,Unidades!$D$5:$N$24,8,FALSE())</f>
        <v>38.4</v>
      </c>
      <c r="F13" s="71" t="n">
        <f aca="false">VLOOKUP($B13,Unidades!$D$5:$N$24,9,FALSE())</f>
        <v>0</v>
      </c>
      <c r="G13" s="71" t="n">
        <f aca="false">D13+E13*$E$6+F13*$F$6</f>
        <v>309.44</v>
      </c>
      <c r="H13" s="72" t="n">
        <f aca="false">IF(G13&lt;750,1.5,IF(G13&lt;2000,2,IF(G13&lt;4000,3,12)))</f>
        <v>1.5</v>
      </c>
      <c r="I13" s="72" t="n">
        <f aca="false">$I$6*H13</f>
        <v>1.8</v>
      </c>
      <c r="J13" s="72" t="str">
        <f aca="false">VLOOKUP($B13,Unidades!$D$5:$N$24,10,FALSE())</f>
        <v>NÃO</v>
      </c>
      <c r="K13" s="72" t="str">
        <f aca="false">VLOOKUP($B13,Unidades!$D$5:$N$24,11,FALSE())</f>
        <v>NÃO</v>
      </c>
      <c r="L13" s="72" t="n">
        <f aca="false">$L$6*H13+(IF(J13="SIM",$J$6,0))</f>
        <v>1.65</v>
      </c>
      <c r="M13" s="72" t="n">
        <f aca="false">$M$6*H13+(IF(J13="SIM",$J$6,0))+(IF(K13="SIM",$K$6,0))</f>
        <v>1.65</v>
      </c>
      <c r="N13" s="72" t="n">
        <f aca="false">H13*12+I13*4+L13*2+M13</f>
        <v>30.15</v>
      </c>
      <c r="O13" s="73" t="n">
        <f aca="false">IF(K13="não", N13*(C$21+D$21),N13*(C$21+D$21)+(M13*+E$21))</f>
        <v>1643.55998809091</v>
      </c>
      <c r="P13" s="74"/>
      <c r="Q13" s="29" t="str">
        <f aca="false">B13</f>
        <v>APS POMERODE</v>
      </c>
      <c r="R13" s="31" t="n">
        <f aca="false">H13*($C$21+$D$21)</f>
        <v>81.7691536363636</v>
      </c>
      <c r="S13" s="31" t="n">
        <f aca="false">I13*($C$21+$D$21)</f>
        <v>98.1229843636364</v>
      </c>
      <c r="T13" s="31" t="n">
        <f aca="false">L13*($C$21+$D$21)</f>
        <v>89.946069</v>
      </c>
      <c r="U13" s="31" t="n">
        <f aca="false">IF(K13="não",M13*($C$21+$D$21),M13*(C$21+D$21+E$21))</f>
        <v>89.946069</v>
      </c>
      <c r="V13" s="31" t="n">
        <f aca="false">VLOOKUP(Q13,'Desl. Base Blumenau'!$C$5:$S$15,13,FALSE())*($C$21+$D$21+$E$21*(VLOOKUP(Q13,'Desl. Base Blumenau'!$C$5:$S$15,17,FALSE())/12))</f>
        <v>69.0495075151515</v>
      </c>
      <c r="W13" s="31" t="n">
        <f aca="false">VLOOKUP(Q13,'Desl. Base Blumenau'!$C$5:$S$15,15,FALSE())*(2+(VLOOKUP(Q13,'Desl. Base Blumenau'!$C$5:$S$15,17,FALSE())/12))</f>
        <v>0</v>
      </c>
      <c r="X13" s="31" t="n">
        <f aca="false">VLOOKUP(Q13,'Desl. Base Blumenau'!$C$5:$Q$15,14,FALSE())</f>
        <v>0</v>
      </c>
      <c r="Y13" s="31" t="n">
        <f aca="false">VLOOKUP(Q13,'Desl. Base Blumenau'!$C$5:$Q$15,13,FALSE())*'Desl. Base Blumenau'!$E$20+'Desl. Base Blumenau'!$E$21*N13/12</f>
        <v>85.4266666666667</v>
      </c>
      <c r="Z13" s="31" t="n">
        <f aca="false">(H13/$AC$5)*'Equipe Técnica'!$C$13</f>
        <v>361.089174142765</v>
      </c>
      <c r="AA13" s="31" t="n">
        <f aca="false">(I13/$AC$5)*'Equipe Técnica'!$C$13</f>
        <v>433.307008971318</v>
      </c>
      <c r="AB13" s="31" t="n">
        <f aca="false">(L13/$AC$5)*'Equipe Técnica'!$C$13</f>
        <v>397.198091557042</v>
      </c>
      <c r="AC13" s="31" t="n">
        <f aca="false">(M13/$AC$5)*'Equipe Técnica'!$C$13</f>
        <v>397.198091557042</v>
      </c>
      <c r="AD13" s="31" t="n">
        <f aca="false">R13+(($V13+$W13+$X13+$Y13)*12/19)+$Z13</f>
        <v>540.422227262383</v>
      </c>
      <c r="AE13" s="31" t="n">
        <f aca="false">S13+(($V13+$W13+$X13+$Y13)*12/19)+$AA13</f>
        <v>628.993892818208</v>
      </c>
      <c r="AF13" s="31" t="n">
        <f aca="false">T13+(($V13+$W13+$X13+$Y13)*12/19)+$AB13</f>
        <v>584.708060040296</v>
      </c>
      <c r="AG13" s="31" t="n">
        <f aca="false">U13+(($V13+$W13+$X13+$Y13)*12/19)+$AC13</f>
        <v>584.708060040296</v>
      </c>
      <c r="AH13" s="2"/>
      <c r="AI13" s="29" t="str">
        <f aca="false">B13</f>
        <v>APS POMERODE</v>
      </c>
      <c r="AJ13" s="75" t="n">
        <f aca="false">VLOOKUP(AI13,Unidades!D$5:H$24,5,)</f>
        <v>0.2921</v>
      </c>
      <c r="AK13" s="54" t="n">
        <f aca="false">AD13*(1+$AJ13)</f>
        <v>698.279559845725</v>
      </c>
      <c r="AL13" s="54" t="n">
        <f aca="false">AE13*(1+$AJ13)</f>
        <v>812.723008910407</v>
      </c>
      <c r="AM13" s="54" t="n">
        <f aca="false">AF13*(1+$AJ13)</f>
        <v>755.501284378066</v>
      </c>
      <c r="AN13" s="54" t="n">
        <f aca="false">AG13*(1+$AJ13)</f>
        <v>755.501284378066</v>
      </c>
      <c r="AO13" s="54" t="n">
        <f aca="false">((AK13*12)+(AL13*4)+(AM13*2)+AN13)/12</f>
        <v>1158.06255057704</v>
      </c>
      <c r="AP13" s="54" t="n">
        <f aca="false">AO13*$AP$6</f>
        <v>3053.07399697584</v>
      </c>
      <c r="AQ13" s="54" t="n">
        <f aca="false">AO13+AP13</f>
        <v>4211.13654755289</v>
      </c>
      <c r="AR13" s="76"/>
      <c r="AS13" s="79" t="s">
        <v>91</v>
      </c>
      <c r="AT13" s="54" t="n">
        <f aca="false">AT12*12</f>
        <v>469993.269053033</v>
      </c>
      <c r="AU13" s="54"/>
      <c r="AV13" s="78"/>
      <c r="AW13" s="78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70" t="s">
        <v>92</v>
      </c>
      <c r="C14" s="71" t="n">
        <f aca="false">VLOOKUP($B14,Unidades!$D$5:$N$24,6,FALSE())</f>
        <v>2048</v>
      </c>
      <c r="D14" s="71" t="n">
        <f aca="false">VLOOKUP($B14,Unidades!$D$5:$N$24,7,FALSE())</f>
        <v>1174.52</v>
      </c>
      <c r="E14" s="71" t="n">
        <f aca="false">VLOOKUP($B14,Unidades!$D$5:$N$24,8,FALSE())</f>
        <v>810</v>
      </c>
      <c r="F14" s="71" t="n">
        <f aca="false">VLOOKUP($B14,Unidades!$D$5:$N$24,9,FALSE())</f>
        <v>63.48</v>
      </c>
      <c r="G14" s="71" t="n">
        <f aca="false">D14+E14*$E$6+F14*$F$6</f>
        <v>1464.368</v>
      </c>
      <c r="H14" s="72" t="n">
        <f aca="false">IF(G14&lt;750,1.5,IF(G14&lt;2000,2,IF(G14&lt;4000,3,12)))</f>
        <v>2</v>
      </c>
      <c r="I14" s="72" t="n">
        <f aca="false">$I$6*H14</f>
        <v>2.4</v>
      </c>
      <c r="J14" s="72" t="str">
        <f aca="false">VLOOKUP($B14,Unidades!$D$5:$N$24,10,FALSE())</f>
        <v>NÃO</v>
      </c>
      <c r="K14" s="72" t="str">
        <f aca="false">VLOOKUP($B14,Unidades!$D$5:$N$24,11,FALSE())</f>
        <v>SIM</v>
      </c>
      <c r="L14" s="72" t="n">
        <f aca="false">$L$6*H14+(IF(J14="SIM",$J$6,0))</f>
        <v>2.2</v>
      </c>
      <c r="M14" s="72" t="n">
        <f aca="false">$M$6*H14+(IF(J14="SIM",$J$6,0))+(IF(K14="SIM",$K$6,0))</f>
        <v>6.2</v>
      </c>
      <c r="N14" s="72" t="n">
        <f aca="false">H14*12+I14*4+L14*2+M14</f>
        <v>44.2</v>
      </c>
      <c r="O14" s="73" t="n">
        <f aca="false">IF(K14="não", N14*(C$21+D$21),N14*(C$21+D$21)+(M14*+E$21))</f>
        <v>2664.16039381818</v>
      </c>
      <c r="P14" s="74"/>
      <c r="Q14" s="29" t="str">
        <f aca="false">B14</f>
        <v>APS RIO DO SUL</v>
      </c>
      <c r="R14" s="31" t="n">
        <f aca="false">H14*($C$21+$D$21)</f>
        <v>109.025538181818</v>
      </c>
      <c r="S14" s="31" t="n">
        <f aca="false">I14*($C$21+$D$21)</f>
        <v>130.830645818182</v>
      </c>
      <c r="T14" s="31" t="n">
        <f aca="false">L14*($C$21+$D$21)</f>
        <v>119.928092</v>
      </c>
      <c r="U14" s="31" t="n">
        <f aca="false">IF(K14="não",M14*($C$21+$D$21),M14*(C$21+D$21+E$21))</f>
        <v>592.675168363636</v>
      </c>
      <c r="V14" s="31" t="n">
        <f aca="false">VLOOKUP(Q14,'Desl. Base Blumenau'!$C$5:$S$15,13,FALSE())*($C$21+$D$21+$E$21*(VLOOKUP(Q14,'Desl. Base Blumenau'!$C$5:$S$15,17,FALSE())/12))</f>
        <v>98.0085732676768</v>
      </c>
      <c r="W14" s="31" t="n">
        <f aca="false">VLOOKUP(Q14,'Desl. Base Blumenau'!$C$5:$S$15,15,FALSE())*(2+(VLOOKUP(Q14,'Desl. Base Blumenau'!$C$5:$S$15,17,FALSE())/12))</f>
        <v>0</v>
      </c>
      <c r="X14" s="31" t="n">
        <f aca="false">VLOOKUP(Q14,'Desl. Base Blumenau'!$C$5:$Q$15,14,FALSE())</f>
        <v>0</v>
      </c>
      <c r="Y14" s="31" t="n">
        <f aca="false">VLOOKUP(Q14,'Desl. Base Blumenau'!$C$5:$Q$15,13,FALSE())*'Desl. Base Blumenau'!$E$20+'Desl. Base Blumenau'!$E$21*N14/12</f>
        <v>116.240083333333</v>
      </c>
      <c r="Z14" s="31" t="n">
        <f aca="false">(H14/$AC$5)*'Equipe Técnica'!$C$13</f>
        <v>481.452232190354</v>
      </c>
      <c r="AA14" s="31" t="n">
        <f aca="false">(I14/$AC$5)*'Equipe Técnica'!$C$13</f>
        <v>577.742678628425</v>
      </c>
      <c r="AB14" s="31" t="n">
        <f aca="false">(L14/$AC$5)*'Equipe Técnica'!$C$13</f>
        <v>529.597455409389</v>
      </c>
      <c r="AC14" s="31" t="n">
        <f aca="false">(M14/$AC$5)*'Equipe Técnica'!$C$13</f>
        <v>1492.5019197901</v>
      </c>
      <c r="AD14" s="31" t="n">
        <f aca="false">R14+(($V14+$W14+$X14+$Y14)*12/19)+$Z14</f>
        <v>725.792711383336</v>
      </c>
      <c r="AE14" s="31" t="n">
        <f aca="false">S14+(($V14+$W14+$X14+$Y14)*12/19)+$AA14</f>
        <v>843.888265457771</v>
      </c>
      <c r="AF14" s="31" t="n">
        <f aca="false">T14+(($V14+$W14+$X14+$Y14)*12/19)+$AB14</f>
        <v>784.840488420554</v>
      </c>
      <c r="AG14" s="31" t="n">
        <f aca="false">U14+(($V14+$W14+$X14+$Y14)*12/19)+$AC14</f>
        <v>2220.4920291649</v>
      </c>
      <c r="AH14" s="2"/>
      <c r="AI14" s="29" t="str">
        <f aca="false">B14</f>
        <v>APS RIO DO SUL</v>
      </c>
      <c r="AJ14" s="75" t="n">
        <f aca="false">VLOOKUP(AI14,Unidades!D$5:H$24,5,)</f>
        <v>0.2707</v>
      </c>
      <c r="AK14" s="54" t="n">
        <f aca="false">AD14*(1+$AJ14)</f>
        <v>922.264798354805</v>
      </c>
      <c r="AL14" s="54" t="n">
        <f aca="false">AE14*(1+$AJ14)</f>
        <v>1072.32881891719</v>
      </c>
      <c r="AM14" s="54" t="n">
        <f aca="false">AF14*(1+$AJ14)</f>
        <v>997.296808635997</v>
      </c>
      <c r="AN14" s="54" t="n">
        <f aca="false">AG14*(1+$AJ14)</f>
        <v>2821.57922145984</v>
      </c>
      <c r="AO14" s="54" t="n">
        <f aca="false">((AK14*12)+(AL14*4)+(AM14*2)+AN14)/12</f>
        <v>1681.05547455485</v>
      </c>
      <c r="AP14" s="54" t="n">
        <f aca="false">AO14*$AP$6</f>
        <v>4431.87352382643</v>
      </c>
      <c r="AQ14" s="54" t="n">
        <f aca="false">AO14+AP14</f>
        <v>6112.92899838129</v>
      </c>
      <c r="AR14" s="76"/>
      <c r="AS14" s="79" t="s">
        <v>93</v>
      </c>
      <c r="AT14" s="54" t="n">
        <f aca="false">AT10+AT12</f>
        <v>54022.2148336819</v>
      </c>
      <c r="AU14" s="54"/>
      <c r="AV14" s="78"/>
      <c r="AW14" s="78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70" t="s">
        <v>94</v>
      </c>
      <c r="C15" s="71" t="n">
        <f aca="false">VLOOKUP($B15,Unidades!$D$5:$N$24,6,FALSE())</f>
        <v>964.83</v>
      </c>
      <c r="D15" s="71" t="n">
        <f aca="false">VLOOKUP($B15,Unidades!$D$5:$N$24,7,FALSE())</f>
        <v>546.27</v>
      </c>
      <c r="E15" s="71" t="n">
        <f aca="false">VLOOKUP($B15,Unidades!$D$5:$N$24,8,FALSE())</f>
        <v>223.33</v>
      </c>
      <c r="F15" s="71" t="n">
        <f aca="false">VLOOKUP($B15,Unidades!$D$5:$N$24,9,FALSE())</f>
        <v>195.23</v>
      </c>
      <c r="G15" s="71" t="n">
        <f aca="false">D15+E15*$E$6+F15*$F$6</f>
        <v>643.9585</v>
      </c>
      <c r="H15" s="72" t="n">
        <f aca="false">IF(G15&lt;750,1.5,IF(G15&lt;2000,2,IF(G15&lt;4000,3,12)))</f>
        <v>1.5</v>
      </c>
      <c r="I15" s="72" t="n">
        <f aca="false">$I$6*H15</f>
        <v>1.8</v>
      </c>
      <c r="J15" s="72" t="str">
        <f aca="false">VLOOKUP($B15,Unidades!$D$5:$N$24,10,FALSE())</f>
        <v>SIM</v>
      </c>
      <c r="K15" s="72" t="str">
        <f aca="false">VLOOKUP($B15,Unidades!$D$5:$N$24,11,FALSE())</f>
        <v>NÃO</v>
      </c>
      <c r="L15" s="72" t="n">
        <f aca="false">$L$6*H15+(IF(J15="SIM",$J$6,0))</f>
        <v>3.65</v>
      </c>
      <c r="M15" s="72" t="n">
        <f aca="false">$M$6*H15+(IF(J15="SIM",$J$6,0))+(IF(K15="SIM",$K$6,0))</f>
        <v>3.65</v>
      </c>
      <c r="N15" s="72" t="n">
        <f aca="false">H15*12+I15*4+L15*2+M15</f>
        <v>36.15</v>
      </c>
      <c r="O15" s="73" t="n">
        <f aca="false">IF(K15="não", N15*(C$21+D$21),N15*(C$21+D$21)+(M15*+E$21))</f>
        <v>1970.63660263636</v>
      </c>
      <c r="P15" s="74"/>
      <c r="Q15" s="29" t="str">
        <f aca="false">B15</f>
        <v>APS TIMBÓ</v>
      </c>
      <c r="R15" s="31" t="n">
        <f aca="false">H15*($C$21+$D$21)</f>
        <v>81.7691536363636</v>
      </c>
      <c r="S15" s="31" t="n">
        <f aca="false">I15*($C$21+$D$21)</f>
        <v>98.1229843636364</v>
      </c>
      <c r="T15" s="31" t="n">
        <f aca="false">L15*($C$21+$D$21)</f>
        <v>198.971607181818</v>
      </c>
      <c r="U15" s="31" t="n">
        <f aca="false">IF(K15="não",M15*($C$21+$D$21),M15*(C$21+D$21+E$21))</f>
        <v>198.971607181818</v>
      </c>
      <c r="V15" s="31" t="n">
        <f aca="false">VLOOKUP(Q15,'Desl. Base Blumenau'!$C$5:$S$15,13,FALSE())*($C$21+$D$21+$E$21*(VLOOKUP(Q15,'Desl. Base Blumenau'!$C$5:$S$15,17,FALSE())/12))</f>
        <v>38.6132114393939</v>
      </c>
      <c r="W15" s="31" t="n">
        <f aca="false">VLOOKUP(Q15,'Desl. Base Blumenau'!$C$5:$S$15,15,FALSE())*(2+(VLOOKUP(Q15,'Desl. Base Blumenau'!$C$5:$S$15,17,FALSE())/12))</f>
        <v>0</v>
      </c>
      <c r="X15" s="31" t="n">
        <f aca="false">VLOOKUP(Q15,'Desl. Base Blumenau'!$C$5:$Q$15,14,FALSE())</f>
        <v>0</v>
      </c>
      <c r="Y15" s="31" t="n">
        <f aca="false">VLOOKUP(Q15,'Desl. Base Blumenau'!$C$5:$Q$15,13,FALSE())*'Desl. Base Blumenau'!$E$20+'Desl. Base Blumenau'!$E$21*N15/12</f>
        <v>58.3165833333333</v>
      </c>
      <c r="Z15" s="31" t="n">
        <f aca="false">(H15/$AC$5)*'Equipe Técnica'!$C$13</f>
        <v>361.089174142765</v>
      </c>
      <c r="AA15" s="31" t="n">
        <f aca="false">(I15/$AC$5)*'Equipe Técnica'!$C$13</f>
        <v>433.307008971318</v>
      </c>
      <c r="AB15" s="31" t="n">
        <f aca="false">(L15/$AC$5)*'Equipe Técnica'!$C$13</f>
        <v>878.650323747396</v>
      </c>
      <c r="AC15" s="31" t="n">
        <f aca="false">(M15/$AC$5)*'Equipe Técnica'!$C$13</f>
        <v>878.650323747396</v>
      </c>
      <c r="AD15" s="31" t="n">
        <f aca="false">R15+(($V15+$W15+$X15+$Y15)*12/19)+$Z15</f>
        <v>504.077145530325</v>
      </c>
      <c r="AE15" s="31" t="n">
        <f aca="false">S15+(($V15+$W15+$X15+$Y15)*12/19)+$AA15</f>
        <v>592.648811086151</v>
      </c>
      <c r="AF15" s="31" t="n">
        <f aca="false">T15+(($V15+$W15+$X15+$Y15)*12/19)+$AB15</f>
        <v>1138.84074868041</v>
      </c>
      <c r="AG15" s="31" t="n">
        <f aca="false">U15+(($V15+$W15+$X15+$Y15)*12/19)+$AC15</f>
        <v>1138.84074868041</v>
      </c>
      <c r="AH15" s="2"/>
      <c r="AI15" s="29" t="str">
        <f aca="false">B15</f>
        <v>APS TIMBÓ</v>
      </c>
      <c r="AJ15" s="75" t="n">
        <f aca="false">VLOOKUP(AI15,Unidades!D$5:H$24,5,)</f>
        <v>0.2921</v>
      </c>
      <c r="AK15" s="54" t="n">
        <f aca="false">AD15*(1+$AJ15)</f>
        <v>651.318079739733</v>
      </c>
      <c r="AL15" s="54" t="n">
        <f aca="false">AE15*(1+$AJ15)</f>
        <v>765.761528804416</v>
      </c>
      <c r="AM15" s="54" t="n">
        <f aca="false">AF15*(1+$AJ15)</f>
        <v>1471.49613136996</v>
      </c>
      <c r="AN15" s="54" t="n">
        <f aca="false">AG15*(1+$AJ15)</f>
        <v>1471.49613136996</v>
      </c>
      <c r="AO15" s="54" t="n">
        <f aca="false">((AK15*12)+(AL15*4)+(AM15*2)+AN15)/12</f>
        <v>1274.44595551703</v>
      </c>
      <c r="AP15" s="54" t="n">
        <f aca="false">AO15*$AP$6</f>
        <v>3359.9029736358</v>
      </c>
      <c r="AQ15" s="54" t="n">
        <f aca="false">AO15+AP15</f>
        <v>4634.34892915283</v>
      </c>
      <c r="AR15" s="76"/>
      <c r="AS15" s="79" t="s">
        <v>95</v>
      </c>
      <c r="AT15" s="54" t="n">
        <f aca="false">AT11+AT13</f>
        <v>648266.578004183</v>
      </c>
      <c r="AU15" s="54"/>
      <c r="AV15" s="76"/>
      <c r="AW15" s="76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70" t="s">
        <v>96</v>
      </c>
      <c r="C16" s="71" t="n">
        <f aca="false">VLOOKUP($B16,Unidades!$D$5:$N$24,6,FALSE())</f>
        <v>540</v>
      </c>
      <c r="D16" s="71" t="n">
        <f aca="false">VLOOKUP($B16,Unidades!$D$5:$N$24,7,FALSE())</f>
        <v>0</v>
      </c>
      <c r="E16" s="71" t="n">
        <f aca="false">VLOOKUP($B16,Unidades!$D$5:$N$24,8,FALSE())</f>
        <v>540</v>
      </c>
      <c r="F16" s="71" t="n">
        <f aca="false">VLOOKUP($B16,Unidades!$D$5:$N$24,9,FALSE())</f>
        <v>0</v>
      </c>
      <c r="G16" s="71" t="n">
        <f aca="false">D16+E16*$E$6+F16*$F$6</f>
        <v>189</v>
      </c>
      <c r="H16" s="72" t="n">
        <f aca="false">IF(G16&lt;750,1.5,IF(G16&lt;2000,2,IF(G16&lt;4000,3,12)))</f>
        <v>1.5</v>
      </c>
      <c r="I16" s="72" t="n">
        <f aca="false">$I$6*H16</f>
        <v>1.8</v>
      </c>
      <c r="J16" s="72" t="str">
        <f aca="false">VLOOKUP($B16,Unidades!$D$5:$N$24,10,FALSE())</f>
        <v>NÃO</v>
      </c>
      <c r="K16" s="72" t="str">
        <f aca="false">VLOOKUP($B16,Unidades!$D$5:$N$24,11,FALSE())</f>
        <v>NÃO</v>
      </c>
      <c r="L16" s="72" t="n">
        <f aca="false">$L$6*H16+(IF(J16="SIM",$J$6,0))</f>
        <v>1.65</v>
      </c>
      <c r="M16" s="72" t="n">
        <f aca="false">$M$6*H16+(IF(J16="SIM",$J$6,0))+(IF(K16="SIM",$K$6,0))</f>
        <v>1.65</v>
      </c>
      <c r="N16" s="72" t="n">
        <f aca="false">H16*12+I16*4+L16*2+M16</f>
        <v>30.15</v>
      </c>
      <c r="O16" s="73" t="n">
        <f aca="false">IF(K16="não", N16*(C$21+D$21),N16*(C$21+D$21)+(M16*+E$21))</f>
        <v>1643.55998809091</v>
      </c>
      <c r="P16" s="74"/>
      <c r="Q16" s="29" t="str">
        <f aca="false">B16</f>
        <v>CEDOCPREV BLUMENAU</v>
      </c>
      <c r="R16" s="31" t="n">
        <f aca="false">H16*($C$21+$D$21)</f>
        <v>81.7691536363636</v>
      </c>
      <c r="S16" s="31" t="n">
        <f aca="false">I16*($C$21+$D$21)</f>
        <v>98.1229843636364</v>
      </c>
      <c r="T16" s="31" t="n">
        <f aca="false">L16*($C$21+$D$21)</f>
        <v>89.946069</v>
      </c>
      <c r="U16" s="31" t="n">
        <f aca="false">IF(K16="não",M16*($C$21+$D$21),M16*(C$21+D$21+E$21))</f>
        <v>89.946069</v>
      </c>
      <c r="V16" s="31" t="n">
        <f aca="false">VLOOKUP(Q16,'Desl. Base Blumenau'!$C$5:$S$15,13,FALSE())*($C$21+$D$21+$E$21*(VLOOKUP(Q16,'Desl. Base Blumenau'!$C$5:$S$15,17,FALSE())/12))</f>
        <v>3.63418460606061</v>
      </c>
      <c r="W16" s="31" t="n">
        <f aca="false">VLOOKUP(Q16,'Desl. Base Blumenau'!$C$5:$S$15,15,FALSE())*(2+(VLOOKUP(Q16,'Desl. Base Blumenau'!$C$5:$S$15,17,FALSE())/12))</f>
        <v>0</v>
      </c>
      <c r="X16" s="31" t="n">
        <f aca="false">VLOOKUP(Q16,'Desl. Base Blumenau'!$C$5:$Q$15,14,FALSE())</f>
        <v>0</v>
      </c>
      <c r="Y16" s="31" t="n">
        <f aca="false">VLOOKUP(Q16,'Desl. Base Blumenau'!$C$5:$Q$15,13,FALSE())*'Desl. Base Blumenau'!$E$20+'Desl. Base Blumenau'!$E$21*N16/12</f>
        <v>20.1106666666667</v>
      </c>
      <c r="Z16" s="31" t="n">
        <f aca="false">(H16/$AC$5)*'Equipe Técnica'!$C$13</f>
        <v>361.089174142765</v>
      </c>
      <c r="AA16" s="31" t="n">
        <f aca="false">(I16/$AC$5)*'Equipe Técnica'!$C$13</f>
        <v>433.307008971318</v>
      </c>
      <c r="AB16" s="31" t="n">
        <f aca="false">(L16/$AC$5)*'Equipe Técnica'!$C$13</f>
        <v>397.198091557042</v>
      </c>
      <c r="AC16" s="31" t="n">
        <f aca="false">(M16/$AC$5)*'Equipe Técnica'!$C$13</f>
        <v>397.198091557042</v>
      </c>
      <c r="AD16" s="31" t="n">
        <f aca="false">R16+(($V16+$W16+$X16+$Y16)*12/19)+$Z16</f>
        <v>457.855075951378</v>
      </c>
      <c r="AE16" s="31" t="n">
        <f aca="false">S16+(($V16+$W16+$X16+$Y16)*12/19)+$AA16</f>
        <v>546.426741507204</v>
      </c>
      <c r="AF16" s="31" t="n">
        <f aca="false">T16+(($V16+$W16+$X16+$Y16)*12/19)+$AB16</f>
        <v>502.140908729291</v>
      </c>
      <c r="AG16" s="31" t="n">
        <f aca="false">U16+(($V16+$W16+$X16+$Y16)*12/19)+$AC16</f>
        <v>502.140908729291</v>
      </c>
      <c r="AH16" s="2"/>
      <c r="AI16" s="29" t="str">
        <f aca="false">B16</f>
        <v>CEDOCPREV BLUMENAU</v>
      </c>
      <c r="AJ16" s="75" t="n">
        <f aca="false">VLOOKUP(AI16,Unidades!D$5:H$24,5,)</f>
        <v>0.3142</v>
      </c>
      <c r="AK16" s="54" t="n">
        <f aca="false">AD16*(1+$AJ16)</f>
        <v>601.713140815301</v>
      </c>
      <c r="AL16" s="54" t="n">
        <f aca="false">AE16*(1+$AJ16)</f>
        <v>718.114023688767</v>
      </c>
      <c r="AM16" s="54" t="n">
        <f aca="false">AF16*(1+$AJ16)</f>
        <v>659.913582252034</v>
      </c>
      <c r="AN16" s="54" t="n">
        <f aca="false">AG16*(1+$AJ16)</f>
        <v>659.913582252034</v>
      </c>
      <c r="AO16" s="54" t="n">
        <f aca="false">((AK16*12)+(AL16*4)+(AM16*2)+AN16)/12</f>
        <v>1006.0628776079</v>
      </c>
      <c r="AP16" s="54" t="n">
        <f aca="false">AO16*$AP$6</f>
        <v>2652.34758642082</v>
      </c>
      <c r="AQ16" s="54" t="n">
        <f aca="false">AO16+AP16</f>
        <v>3658.41046402872</v>
      </c>
      <c r="AR16" s="76"/>
      <c r="AS16" s="76"/>
      <c r="AT16" s="76"/>
      <c r="AU16" s="76"/>
      <c r="AV16" s="76"/>
      <c r="AW16" s="76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61"/>
      <c r="IX16" s="61"/>
      <c r="IY16" s="61"/>
      <c r="IZ16" s="61"/>
      <c r="JA16" s="61"/>
      <c r="JB16" s="61"/>
      <c r="JC16" s="61"/>
      <c r="JD16" s="61"/>
      <c r="JE16" s="61"/>
      <c r="JF16" s="61"/>
      <c r="JG16" s="61"/>
      <c r="JH16" s="61"/>
      <c r="JI16" s="61"/>
      <c r="JJ16" s="61"/>
      <c r="JK16" s="61"/>
      <c r="JL16" s="61"/>
      <c r="JM16" s="61"/>
      <c r="JN16" s="61"/>
      <c r="JO16" s="61"/>
      <c r="JP16" s="61"/>
      <c r="JQ16" s="61"/>
      <c r="JR16" s="61"/>
      <c r="JS16" s="61"/>
      <c r="JT16" s="61"/>
      <c r="JU16" s="61"/>
      <c r="JV16" s="61"/>
      <c r="JW16" s="61"/>
      <c r="JX16" s="61"/>
      <c r="JY16" s="61"/>
      <c r="JZ16" s="61"/>
      <c r="KA16" s="61"/>
      <c r="KB16" s="61"/>
      <c r="KC16" s="61"/>
      <c r="KD16" s="61"/>
      <c r="KE16" s="61"/>
      <c r="KF16" s="61"/>
      <c r="KG16" s="61"/>
      <c r="KH16" s="61"/>
      <c r="KI16" s="61"/>
      <c r="KJ16" s="61"/>
      <c r="KK16" s="61"/>
      <c r="KL16" s="61"/>
      <c r="KM16" s="61"/>
      <c r="KN16" s="61"/>
      <c r="KO16" s="61"/>
      <c r="KP16" s="61"/>
      <c r="KQ16" s="61"/>
      <c r="KR16" s="61"/>
      <c r="KS16" s="61"/>
      <c r="KT16" s="61"/>
      <c r="KU16" s="61"/>
      <c r="KV16" s="61"/>
      <c r="KW16" s="61"/>
      <c r="KX16" s="61"/>
      <c r="KY16" s="61"/>
      <c r="KZ16" s="61"/>
      <c r="LA16" s="61"/>
      <c r="LB16" s="61"/>
      <c r="LC16" s="61"/>
      <c r="LD16" s="61"/>
      <c r="LE16" s="61"/>
      <c r="LF16" s="61"/>
      <c r="LG16" s="61"/>
      <c r="LH16" s="61"/>
      <c r="LI16" s="61"/>
      <c r="LJ16" s="61"/>
      <c r="LK16" s="61"/>
      <c r="LL16" s="61"/>
      <c r="LM16" s="61"/>
      <c r="LN16" s="61"/>
      <c r="LO16" s="61"/>
      <c r="LP16" s="61"/>
      <c r="LQ16" s="61"/>
      <c r="LR16" s="61"/>
      <c r="LS16" s="61"/>
      <c r="LT16" s="61"/>
      <c r="LU16" s="61"/>
      <c r="LV16" s="61"/>
      <c r="LW16" s="61"/>
      <c r="LX16" s="61"/>
      <c r="LY16" s="61"/>
      <c r="LZ16" s="61"/>
      <c r="MA16" s="61"/>
      <c r="MB16" s="61"/>
      <c r="MC16" s="61"/>
      <c r="MD16" s="61"/>
      <c r="ME16" s="61"/>
      <c r="MF16" s="61"/>
      <c r="MG16" s="61"/>
      <c r="MH16" s="61"/>
      <c r="MI16" s="61"/>
      <c r="MJ16" s="61"/>
      <c r="MK16" s="61"/>
      <c r="ML16" s="61"/>
      <c r="MM16" s="61"/>
      <c r="MN16" s="61"/>
      <c r="MO16" s="61"/>
      <c r="MP16" s="61"/>
      <c r="MQ16" s="61"/>
      <c r="MR16" s="61"/>
      <c r="MS16" s="61"/>
      <c r="MT16" s="61"/>
      <c r="MU16" s="61"/>
      <c r="MV16" s="61"/>
      <c r="MW16" s="61"/>
      <c r="MX16" s="61"/>
      <c r="MY16" s="61"/>
      <c r="MZ16" s="61"/>
      <c r="NA16" s="61"/>
      <c r="NB16" s="61"/>
      <c r="NC16" s="61"/>
      <c r="ND16" s="61"/>
      <c r="NE16" s="61"/>
      <c r="NF16" s="61"/>
      <c r="NG16" s="61"/>
      <c r="NH16" s="61"/>
      <c r="NI16" s="61"/>
      <c r="NJ16" s="61"/>
      <c r="NK16" s="61"/>
      <c r="NL16" s="61"/>
      <c r="NM16" s="61"/>
      <c r="NN16" s="61"/>
      <c r="NO16" s="61"/>
      <c r="NP16" s="61"/>
      <c r="NQ16" s="61"/>
      <c r="NR16" s="61"/>
      <c r="NS16" s="61"/>
      <c r="NT16" s="61"/>
      <c r="NU16" s="61"/>
      <c r="NV16" s="61"/>
      <c r="NW16" s="61"/>
      <c r="NX16" s="61"/>
      <c r="NY16" s="61"/>
      <c r="NZ16" s="61"/>
      <c r="OA16" s="61"/>
      <c r="OB16" s="61"/>
      <c r="OC16" s="61"/>
      <c r="OD16" s="61"/>
      <c r="OE16" s="61"/>
      <c r="OF16" s="61"/>
      <c r="OG16" s="61"/>
      <c r="OH16" s="61"/>
      <c r="OI16" s="61"/>
      <c r="OJ16" s="61"/>
      <c r="OK16" s="61"/>
      <c r="OL16" s="61"/>
      <c r="OM16" s="61"/>
      <c r="ON16" s="61"/>
      <c r="OO16" s="61"/>
      <c r="OP16" s="61"/>
      <c r="OQ16" s="61"/>
      <c r="OR16" s="61"/>
      <c r="OS16" s="61"/>
      <c r="OT16" s="61"/>
      <c r="OU16" s="61"/>
      <c r="OV16" s="61"/>
      <c r="OW16" s="61"/>
      <c r="OX16" s="61"/>
      <c r="OY16" s="61"/>
      <c r="OZ16" s="61"/>
      <c r="PA16" s="61"/>
      <c r="PB16" s="61"/>
      <c r="PC16" s="61"/>
      <c r="PD16" s="61"/>
      <c r="PE16" s="61"/>
      <c r="PF16" s="61"/>
      <c r="PG16" s="61"/>
      <c r="PH16" s="61"/>
      <c r="PI16" s="61"/>
      <c r="PJ16" s="61"/>
      <c r="PK16" s="61"/>
      <c r="PL16" s="61"/>
      <c r="PM16" s="61"/>
      <c r="PN16" s="61"/>
      <c r="PO16" s="61"/>
      <c r="PP16" s="61"/>
      <c r="PQ16" s="61"/>
      <c r="PR16" s="61"/>
      <c r="PS16" s="61"/>
      <c r="PT16" s="61"/>
      <c r="PU16" s="61"/>
      <c r="PV16" s="61"/>
      <c r="PW16" s="61"/>
      <c r="PX16" s="61"/>
      <c r="PY16" s="61"/>
      <c r="PZ16" s="61"/>
      <c r="QA16" s="61"/>
      <c r="QB16" s="61"/>
      <c r="QC16" s="61"/>
      <c r="QD16" s="61"/>
      <c r="QE16" s="61"/>
      <c r="QF16" s="61"/>
      <c r="QG16" s="61"/>
      <c r="QH16" s="61"/>
      <c r="QI16" s="61"/>
      <c r="QJ16" s="61"/>
      <c r="QK16" s="61"/>
      <c r="QL16" s="61"/>
      <c r="QM16" s="61"/>
      <c r="QN16" s="61"/>
      <c r="QO16" s="61"/>
      <c r="QP16" s="61"/>
      <c r="QQ16" s="61"/>
      <c r="QR16" s="61"/>
      <c r="QS16" s="61"/>
      <c r="QT16" s="61"/>
      <c r="QU16" s="61"/>
      <c r="QV16" s="61"/>
      <c r="QW16" s="61"/>
      <c r="QX16" s="61"/>
      <c r="QY16" s="61"/>
      <c r="QZ16" s="61"/>
      <c r="RA16" s="61"/>
      <c r="RB16" s="61"/>
      <c r="RC16" s="61"/>
      <c r="RD16" s="61"/>
      <c r="RE16" s="61"/>
      <c r="RF16" s="61"/>
      <c r="RG16" s="61"/>
      <c r="RH16" s="61"/>
      <c r="RI16" s="61"/>
      <c r="RJ16" s="61"/>
      <c r="RK16" s="61"/>
      <c r="RL16" s="61"/>
      <c r="RM16" s="61"/>
      <c r="RN16" s="61"/>
      <c r="RO16" s="61"/>
      <c r="RP16" s="61"/>
      <c r="RQ16" s="61"/>
      <c r="RR16" s="61"/>
      <c r="RS16" s="61"/>
      <c r="RT16" s="61"/>
      <c r="RU16" s="61"/>
      <c r="RV16" s="61"/>
      <c r="RW16" s="61"/>
      <c r="RX16" s="61"/>
      <c r="RY16" s="61"/>
      <c r="RZ16" s="61"/>
      <c r="SA16" s="61"/>
      <c r="SB16" s="61"/>
      <c r="SC16" s="61"/>
      <c r="SD16" s="61"/>
      <c r="SE16" s="61"/>
      <c r="SF16" s="61"/>
      <c r="SG16" s="61"/>
      <c r="SH16" s="61"/>
      <c r="SI16" s="61"/>
      <c r="SJ16" s="61"/>
      <c r="SK16" s="61"/>
      <c r="SL16" s="61"/>
      <c r="SM16" s="61"/>
      <c r="SN16" s="61"/>
      <c r="SO16" s="61"/>
      <c r="SP16" s="61"/>
      <c r="SQ16" s="61"/>
      <c r="SR16" s="61"/>
      <c r="SS16" s="61"/>
      <c r="ST16" s="61"/>
      <c r="SU16" s="61"/>
      <c r="SV16" s="61"/>
      <c r="SW16" s="61"/>
      <c r="SX16" s="61"/>
      <c r="SY16" s="61"/>
      <c r="SZ16" s="61"/>
      <c r="TA16" s="61"/>
      <c r="TB16" s="61"/>
      <c r="TC16" s="61"/>
      <c r="TD16" s="61"/>
      <c r="TE16" s="61"/>
      <c r="TF16" s="61"/>
      <c r="TG16" s="61"/>
      <c r="TH16" s="61"/>
      <c r="TI16" s="61"/>
      <c r="TJ16" s="61"/>
      <c r="TK16" s="61"/>
      <c r="TL16" s="61"/>
      <c r="TM16" s="61"/>
      <c r="TN16" s="61"/>
      <c r="TO16" s="61"/>
      <c r="TP16" s="61"/>
      <c r="TQ16" s="61"/>
      <c r="TR16" s="61"/>
      <c r="TS16" s="61"/>
      <c r="TT16" s="61"/>
      <c r="TU16" s="61"/>
      <c r="TV16" s="61"/>
      <c r="TW16" s="61"/>
      <c r="TX16" s="61"/>
      <c r="TY16" s="61"/>
      <c r="TZ16" s="61"/>
      <c r="UA16" s="61"/>
      <c r="UB16" s="61"/>
      <c r="UC16" s="61"/>
      <c r="UD16" s="61"/>
      <c r="UE16" s="61"/>
      <c r="UF16" s="61"/>
      <c r="UG16" s="61"/>
      <c r="UH16" s="61"/>
      <c r="UI16" s="61"/>
      <c r="UJ16" s="61"/>
      <c r="UK16" s="61"/>
      <c r="UL16" s="61"/>
      <c r="UM16" s="61"/>
      <c r="UN16" s="61"/>
      <c r="UO16" s="61"/>
      <c r="UP16" s="61"/>
      <c r="UQ16" s="61"/>
      <c r="UR16" s="61"/>
      <c r="US16" s="61"/>
      <c r="UT16" s="61"/>
      <c r="UU16" s="61"/>
      <c r="UV16" s="61"/>
      <c r="UW16" s="61"/>
      <c r="UX16" s="61"/>
      <c r="UY16" s="61"/>
      <c r="UZ16" s="61"/>
      <c r="VA16" s="61"/>
      <c r="VB16" s="61"/>
      <c r="VC16" s="61"/>
      <c r="VD16" s="61"/>
      <c r="VE16" s="61"/>
      <c r="VF16" s="61"/>
      <c r="VG16" s="61"/>
      <c r="VH16" s="61"/>
      <c r="VI16" s="61"/>
      <c r="VJ16" s="61"/>
      <c r="VK16" s="61"/>
      <c r="VL16" s="61"/>
      <c r="VM16" s="61"/>
      <c r="VN16" s="61"/>
      <c r="VO16" s="61"/>
      <c r="VP16" s="61"/>
      <c r="VQ16" s="61"/>
      <c r="VR16" s="61"/>
      <c r="VS16" s="61"/>
      <c r="VT16" s="61"/>
      <c r="VU16" s="61"/>
      <c r="VV16" s="61"/>
      <c r="VW16" s="61"/>
      <c r="VX16" s="61"/>
      <c r="VY16" s="61"/>
      <c r="VZ16" s="61"/>
      <c r="WA16" s="61"/>
      <c r="WB16" s="61"/>
      <c r="WC16" s="61"/>
      <c r="WD16" s="61"/>
      <c r="WE16" s="61"/>
      <c r="WF16" s="61"/>
      <c r="WG16" s="61"/>
      <c r="WH16" s="61"/>
      <c r="WI16" s="61"/>
      <c r="WJ16" s="61"/>
      <c r="WK16" s="61"/>
      <c r="WL16" s="61"/>
      <c r="WM16" s="61"/>
      <c r="WN16" s="61"/>
      <c r="WO16" s="61"/>
      <c r="WP16" s="61"/>
      <c r="WQ16" s="61"/>
      <c r="WR16" s="61"/>
      <c r="WS16" s="61"/>
      <c r="WT16" s="61"/>
      <c r="WU16" s="61"/>
      <c r="WV16" s="61"/>
      <c r="WW16" s="61"/>
      <c r="WX16" s="61"/>
      <c r="WY16" s="61"/>
      <c r="WZ16" s="61"/>
      <c r="XA16" s="61"/>
      <c r="XB16" s="61"/>
      <c r="XC16" s="61"/>
      <c r="XD16" s="61"/>
      <c r="XE16" s="61"/>
      <c r="XF16" s="61"/>
      <c r="XG16" s="61"/>
      <c r="XH16" s="61"/>
      <c r="XI16" s="61"/>
      <c r="XJ16" s="61"/>
      <c r="XK16" s="61"/>
      <c r="XL16" s="61"/>
      <c r="XM16" s="61"/>
      <c r="XN16" s="61"/>
      <c r="XO16" s="61"/>
      <c r="XP16" s="61"/>
      <c r="XQ16" s="61"/>
      <c r="XR16" s="61"/>
      <c r="XS16" s="61"/>
      <c r="XT16" s="61"/>
      <c r="XU16" s="61"/>
      <c r="XV16" s="61"/>
      <c r="XW16" s="61"/>
      <c r="XX16" s="61"/>
      <c r="XY16" s="61"/>
      <c r="XZ16" s="61"/>
      <c r="YA16" s="61"/>
      <c r="YB16" s="61"/>
      <c r="YC16" s="61"/>
      <c r="YD16" s="61"/>
      <c r="YE16" s="61"/>
      <c r="YF16" s="61"/>
      <c r="YG16" s="61"/>
      <c r="YH16" s="61"/>
      <c r="YI16" s="61"/>
      <c r="YJ16" s="61"/>
      <c r="YK16" s="61"/>
      <c r="YL16" s="61"/>
      <c r="YM16" s="61"/>
      <c r="YN16" s="61"/>
      <c r="YO16" s="61"/>
      <c r="YP16" s="61"/>
      <c r="YQ16" s="61"/>
      <c r="YR16" s="61"/>
      <c r="YS16" s="61"/>
      <c r="YT16" s="61"/>
      <c r="YU16" s="61"/>
      <c r="YV16" s="61"/>
      <c r="YW16" s="61"/>
      <c r="YX16" s="61"/>
      <c r="YY16" s="61"/>
      <c r="YZ16" s="61"/>
      <c r="ZA16" s="61"/>
      <c r="ZB16" s="61"/>
      <c r="ZC16" s="61"/>
      <c r="ZD16" s="61"/>
      <c r="ZE16" s="61"/>
      <c r="ZF16" s="61"/>
      <c r="ZG16" s="61"/>
      <c r="ZH16" s="61"/>
      <c r="ZI16" s="61"/>
      <c r="ZJ16" s="61"/>
      <c r="ZK16" s="61"/>
      <c r="ZL16" s="61"/>
      <c r="ZM16" s="61"/>
      <c r="ZN16" s="61"/>
      <c r="ZO16" s="61"/>
      <c r="ZP16" s="61"/>
      <c r="ZQ16" s="61"/>
      <c r="ZR16" s="61"/>
      <c r="ZS16" s="61"/>
      <c r="ZT16" s="61"/>
      <c r="ZU16" s="61"/>
      <c r="ZV16" s="61"/>
      <c r="ZW16" s="61"/>
      <c r="ZX16" s="61"/>
      <c r="ZY16" s="61"/>
      <c r="ZZ16" s="61"/>
      <c r="AAA16" s="61"/>
      <c r="AAB16" s="61"/>
      <c r="AAC16" s="61"/>
      <c r="AAD16" s="61"/>
      <c r="AAE16" s="61"/>
      <c r="AAF16" s="61"/>
      <c r="AAG16" s="61"/>
      <c r="AAH16" s="61"/>
      <c r="AAI16" s="61"/>
      <c r="AAJ16" s="61"/>
      <c r="AAK16" s="61"/>
      <c r="AAL16" s="61"/>
      <c r="AAM16" s="61"/>
      <c r="AAN16" s="61"/>
      <c r="AAO16" s="61"/>
      <c r="AAP16" s="61"/>
      <c r="AAQ16" s="61"/>
      <c r="AAR16" s="61"/>
      <c r="AAS16" s="61"/>
      <c r="AAT16" s="61"/>
      <c r="AAU16" s="61"/>
      <c r="AAV16" s="61"/>
      <c r="AAW16" s="61"/>
      <c r="AAX16" s="61"/>
      <c r="AAY16" s="61"/>
      <c r="AAZ16" s="61"/>
      <c r="ABA16" s="61"/>
      <c r="ABB16" s="61"/>
      <c r="ABC16" s="61"/>
      <c r="ABD16" s="61"/>
      <c r="ABE16" s="61"/>
      <c r="ABF16" s="61"/>
      <c r="ABG16" s="61"/>
      <c r="ABH16" s="61"/>
      <c r="ABI16" s="61"/>
      <c r="ABJ16" s="61"/>
      <c r="ABK16" s="61"/>
      <c r="ABL16" s="61"/>
      <c r="ABM16" s="61"/>
      <c r="ABN16" s="61"/>
      <c r="ABO16" s="61"/>
      <c r="ABP16" s="61"/>
      <c r="ABQ16" s="61"/>
      <c r="ABR16" s="61"/>
      <c r="ABS16" s="61"/>
      <c r="ABT16" s="61"/>
      <c r="ABU16" s="61"/>
      <c r="ABV16" s="61"/>
      <c r="ABW16" s="61"/>
      <c r="ABX16" s="61"/>
      <c r="ABY16" s="61"/>
      <c r="ABZ16" s="61"/>
      <c r="ACA16" s="61"/>
      <c r="ACB16" s="61"/>
      <c r="ACC16" s="61"/>
      <c r="ACD16" s="61"/>
      <c r="ACE16" s="61"/>
      <c r="ACF16" s="61"/>
      <c r="ACG16" s="61"/>
      <c r="ACH16" s="61"/>
      <c r="ACI16" s="61"/>
      <c r="ACJ16" s="61"/>
      <c r="ACK16" s="61"/>
      <c r="ACL16" s="61"/>
      <c r="ACM16" s="61"/>
      <c r="ACN16" s="61"/>
      <c r="ACO16" s="61"/>
      <c r="ACP16" s="61"/>
      <c r="ACQ16" s="61"/>
      <c r="ACR16" s="61"/>
      <c r="ACS16" s="61"/>
      <c r="ACT16" s="61"/>
      <c r="ACU16" s="61"/>
      <c r="ACV16" s="61"/>
      <c r="ACW16" s="61"/>
      <c r="ACX16" s="61"/>
      <c r="ACY16" s="61"/>
      <c r="ACZ16" s="61"/>
      <c r="ADA16" s="61"/>
      <c r="ADB16" s="61"/>
      <c r="ADC16" s="61"/>
      <c r="ADD16" s="61"/>
      <c r="ADE16" s="61"/>
      <c r="ADF16" s="61"/>
      <c r="ADG16" s="61"/>
      <c r="ADH16" s="61"/>
      <c r="ADI16" s="61"/>
      <c r="ADJ16" s="61"/>
      <c r="ADK16" s="61"/>
      <c r="ADL16" s="61"/>
      <c r="ADM16" s="61"/>
      <c r="ADN16" s="61"/>
      <c r="ADO16" s="61"/>
      <c r="ADP16" s="61"/>
      <c r="ADQ16" s="61"/>
      <c r="ADR16" s="61"/>
      <c r="ADS16" s="61"/>
      <c r="ADT16" s="61"/>
      <c r="ADU16" s="61"/>
      <c r="ADV16" s="61"/>
      <c r="ADW16" s="61"/>
      <c r="ADX16" s="61"/>
      <c r="ADY16" s="61"/>
      <c r="ADZ16" s="61"/>
      <c r="AEA16" s="61"/>
      <c r="AEB16" s="61"/>
      <c r="AEC16" s="61"/>
      <c r="AED16" s="61"/>
      <c r="AEE16" s="61"/>
      <c r="AEF16" s="61"/>
      <c r="AEG16" s="61"/>
      <c r="AEH16" s="61"/>
      <c r="AEI16" s="61"/>
      <c r="AEJ16" s="61"/>
      <c r="AEK16" s="61"/>
      <c r="AEL16" s="61"/>
      <c r="AEM16" s="61"/>
      <c r="AEN16" s="61"/>
      <c r="AEO16" s="61"/>
      <c r="AEP16" s="61"/>
      <c r="AEQ16" s="61"/>
      <c r="AER16" s="61"/>
      <c r="AES16" s="61"/>
      <c r="AET16" s="61"/>
      <c r="AEU16" s="61"/>
      <c r="AEV16" s="61"/>
      <c r="AEW16" s="61"/>
      <c r="AEX16" s="61"/>
      <c r="AEY16" s="61"/>
      <c r="AEZ16" s="61"/>
      <c r="AFA16" s="61"/>
      <c r="AFB16" s="61"/>
      <c r="AFC16" s="61"/>
      <c r="AFD16" s="61"/>
      <c r="AFE16" s="61"/>
      <c r="AFF16" s="61"/>
      <c r="AFG16" s="61"/>
      <c r="AFH16" s="61"/>
      <c r="AFI16" s="61"/>
      <c r="AFJ16" s="61"/>
      <c r="AFK16" s="61"/>
      <c r="AFL16" s="61"/>
      <c r="AFM16" s="61"/>
      <c r="AFN16" s="61"/>
      <c r="AFO16" s="61"/>
      <c r="AFP16" s="61"/>
      <c r="AFQ16" s="61"/>
      <c r="AFR16" s="61"/>
      <c r="AFS16" s="61"/>
      <c r="AFT16" s="61"/>
      <c r="AFU16" s="61"/>
      <c r="AFV16" s="61"/>
      <c r="AFW16" s="61"/>
      <c r="AFX16" s="61"/>
      <c r="AFY16" s="61"/>
      <c r="AFZ16" s="61"/>
      <c r="AGA16" s="61"/>
      <c r="AGB16" s="61"/>
      <c r="AGC16" s="61"/>
      <c r="AGD16" s="61"/>
      <c r="AGE16" s="61"/>
      <c r="AGF16" s="61"/>
      <c r="AGG16" s="61"/>
      <c r="AGH16" s="61"/>
      <c r="AGI16" s="61"/>
      <c r="AGJ16" s="61"/>
      <c r="AGK16" s="61"/>
      <c r="AGL16" s="61"/>
      <c r="AGM16" s="61"/>
      <c r="AGN16" s="61"/>
      <c r="AGO16" s="61"/>
      <c r="AGP16" s="61"/>
      <c r="AGQ16" s="61"/>
      <c r="AGR16" s="61"/>
      <c r="AGS16" s="61"/>
      <c r="AGT16" s="61"/>
      <c r="AGU16" s="61"/>
      <c r="AGV16" s="61"/>
      <c r="AGW16" s="61"/>
      <c r="AGX16" s="61"/>
      <c r="AGY16" s="61"/>
      <c r="AGZ16" s="61"/>
      <c r="AHA16" s="61"/>
      <c r="AHB16" s="61"/>
      <c r="AHC16" s="61"/>
      <c r="AHD16" s="61"/>
      <c r="AHE16" s="61"/>
      <c r="AHF16" s="61"/>
      <c r="AHG16" s="61"/>
      <c r="AHH16" s="61"/>
      <c r="AHI16" s="61"/>
      <c r="AHJ16" s="61"/>
      <c r="AHK16" s="61"/>
      <c r="AHL16" s="61"/>
      <c r="AHM16" s="61"/>
      <c r="AHN16" s="61"/>
      <c r="AHO16" s="61"/>
      <c r="AHP16" s="61"/>
      <c r="AHQ16" s="61"/>
      <c r="AHR16" s="61"/>
      <c r="AHS16" s="61"/>
      <c r="AHT16" s="61"/>
      <c r="AHU16" s="61"/>
      <c r="AHV16" s="61"/>
      <c r="AHW16" s="61"/>
      <c r="AHX16" s="61"/>
      <c r="AHY16" s="61"/>
      <c r="AHZ16" s="61"/>
      <c r="AIA16" s="61"/>
      <c r="AIB16" s="61"/>
      <c r="AIC16" s="61"/>
      <c r="AID16" s="61"/>
      <c r="AIE16" s="61"/>
      <c r="AIF16" s="61"/>
      <c r="AIG16" s="61"/>
      <c r="AIH16" s="61"/>
      <c r="AII16" s="61"/>
      <c r="AIJ16" s="61"/>
      <c r="AIK16" s="61"/>
      <c r="AIL16" s="61"/>
      <c r="AIM16" s="61"/>
      <c r="AIN16" s="61"/>
      <c r="AIO16" s="61"/>
      <c r="AIP16" s="61"/>
      <c r="AIQ16" s="61"/>
      <c r="AIR16" s="61"/>
      <c r="AIS16" s="61"/>
      <c r="AIT16" s="61"/>
      <c r="AIU16" s="61"/>
      <c r="AIV16" s="61"/>
      <c r="AIW16" s="61"/>
      <c r="AIX16" s="61"/>
      <c r="AIY16" s="61"/>
      <c r="AIZ16" s="61"/>
      <c r="AJA16" s="61"/>
      <c r="AJB16" s="61"/>
      <c r="AJC16" s="61"/>
      <c r="AJD16" s="61"/>
      <c r="AJE16" s="61"/>
      <c r="AJF16" s="61"/>
      <c r="AJG16" s="61"/>
      <c r="AJH16" s="61"/>
      <c r="AJI16" s="61"/>
      <c r="AJJ16" s="61"/>
      <c r="AJK16" s="61"/>
      <c r="AJL16" s="61"/>
      <c r="AJM16" s="61"/>
      <c r="AJN16" s="61"/>
      <c r="AJO16" s="61"/>
      <c r="AJP16" s="61"/>
      <c r="AJQ16" s="61"/>
      <c r="AJR16" s="61"/>
      <c r="AJS16" s="61"/>
      <c r="AJT16" s="61"/>
      <c r="AJU16" s="61"/>
      <c r="AJV16" s="61"/>
      <c r="AJW16" s="61"/>
      <c r="AJX16" s="61"/>
      <c r="AJY16" s="61"/>
      <c r="AJZ16" s="61"/>
      <c r="AKA16" s="61"/>
      <c r="AKB16" s="61"/>
      <c r="AKC16" s="61"/>
      <c r="AKD16" s="61"/>
      <c r="AKE16" s="61"/>
      <c r="AKF16" s="61"/>
      <c r="AKG16" s="61"/>
      <c r="AKH16" s="61"/>
      <c r="AKI16" s="61"/>
      <c r="AKJ16" s="61"/>
      <c r="AKK16" s="61"/>
      <c r="AKL16" s="61"/>
      <c r="AKM16" s="61"/>
      <c r="AKN16" s="61"/>
      <c r="AKO16" s="61"/>
      <c r="AKP16" s="61"/>
      <c r="AKQ16" s="61"/>
      <c r="AKR16" s="61"/>
      <c r="AKS16" s="61"/>
      <c r="AKT16" s="61"/>
      <c r="AKU16" s="61"/>
      <c r="AKV16" s="61"/>
      <c r="AKW16" s="61"/>
      <c r="AKX16" s="61"/>
      <c r="AKY16" s="61"/>
      <c r="AKZ16" s="61"/>
      <c r="ALA16" s="61"/>
      <c r="ALB16" s="61"/>
      <c r="ALC16" s="61"/>
      <c r="ALD16" s="61"/>
      <c r="ALE16" s="61"/>
      <c r="ALF16" s="61"/>
      <c r="ALG16" s="61"/>
      <c r="ALH16" s="61"/>
      <c r="ALI16" s="61"/>
      <c r="ALJ16" s="61"/>
      <c r="ALK16" s="61"/>
      <c r="ALL16" s="61"/>
      <c r="ALM16" s="61"/>
      <c r="ALN16" s="61"/>
      <c r="ALO16" s="61"/>
      <c r="ALP16" s="61"/>
      <c r="ALQ16" s="61"/>
      <c r="ALR16" s="61"/>
      <c r="ALS16" s="61"/>
      <c r="ALT16" s="61"/>
      <c r="ALU16" s="61"/>
      <c r="ALV16" s="61"/>
      <c r="ALW16" s="61"/>
      <c r="ALX16" s="61"/>
    </row>
    <row r="17" customFormat="false" ht="15" hidden="false" customHeight="true" outlineLevel="0" collapsed="false">
      <c r="A17" s="2"/>
      <c r="B17" s="70" t="s">
        <v>97</v>
      </c>
      <c r="C17" s="71" t="n">
        <f aca="false">VLOOKUP($B17,Unidades!$D$5:$N$24,6,FALSE())</f>
        <v>1896.48</v>
      </c>
      <c r="D17" s="71" t="n">
        <f aca="false">VLOOKUP($B17,Unidades!$D$5:$N$24,7,FALSE())</f>
        <v>1716.77</v>
      </c>
      <c r="E17" s="71" t="n">
        <f aca="false">VLOOKUP($B17,Unidades!$D$5:$N$24,8,FALSE())</f>
        <v>179.71</v>
      </c>
      <c r="F17" s="71" t="n">
        <f aca="false">VLOOKUP($B17,Unidades!$D$5:$N$24,9,FALSE())</f>
        <v>0</v>
      </c>
      <c r="G17" s="71" t="n">
        <f aca="false">D17+E17*$E$6+F17*$F$6</f>
        <v>1779.6685</v>
      </c>
      <c r="H17" s="72" t="n">
        <f aca="false">IF(G17&lt;750,1.5,IF(G17&lt;2000,2,IF(G17&lt;4000,3,12)))</f>
        <v>2</v>
      </c>
      <c r="I17" s="72" t="n">
        <f aca="false">$I$6*H17</f>
        <v>2.4</v>
      </c>
      <c r="J17" s="72" t="str">
        <f aca="false">VLOOKUP($B17,Unidades!$D$5:$N$24,10,FALSE())</f>
        <v>SIM</v>
      </c>
      <c r="K17" s="72" t="str">
        <f aca="false">VLOOKUP($B17,Unidades!$D$5:$N$24,11,FALSE())</f>
        <v>NÃO</v>
      </c>
      <c r="L17" s="72" t="n">
        <f aca="false">$L$6*H17+(IF(J17="SIM",$J$6,0))</f>
        <v>4.2</v>
      </c>
      <c r="M17" s="72" t="n">
        <f aca="false">$M$6*H17+(IF(J17="SIM",$J$6,0))+(IF(K17="SIM",$K$6,0))</f>
        <v>4.2</v>
      </c>
      <c r="N17" s="72" t="n">
        <f aca="false">H17*12+I17*4+L17*2+M17</f>
        <v>46.2</v>
      </c>
      <c r="O17" s="73" t="n">
        <f aca="false">IF(K17="não", N17*(C$21+D$21),N17*(C$21+D$21)+(M17*+E$21))</f>
        <v>2518.489932</v>
      </c>
      <c r="P17" s="74"/>
      <c r="Q17" s="29" t="str">
        <f aca="false">B17</f>
        <v>GEX/APS BLUMENAU</v>
      </c>
      <c r="R17" s="31" t="n">
        <f aca="false">H17*($C$21+$D$21)</f>
        <v>109.025538181818</v>
      </c>
      <c r="S17" s="31" t="n">
        <f aca="false">I17*($C$21+$D$21)</f>
        <v>130.830645818182</v>
      </c>
      <c r="T17" s="31" t="n">
        <f aca="false">L17*($C$21+$D$21)</f>
        <v>228.953630181818</v>
      </c>
      <c r="U17" s="31" t="n">
        <f aca="false">IF(K17="não",M17*($C$21+$D$21),M17*(C$21+D$21+E$21))</f>
        <v>228.953630181818</v>
      </c>
      <c r="V17" s="31" t="n">
        <f aca="false">VLOOKUP(Q17,'Desl. Base Blumenau'!$C$5:$S$15,13,FALSE())*($C$21+$D$21+$E$21*(VLOOKUP(Q17,'Desl. Base Blumenau'!$C$5:$S$15,17,FALSE())/12))</f>
        <v>3.63418460606061</v>
      </c>
      <c r="W17" s="31" t="n">
        <f aca="false">VLOOKUP(Q17,'Desl. Base Blumenau'!$C$5:$S$15,15,FALSE())*(2+(VLOOKUP(Q17,'Desl. Base Blumenau'!$C$5:$S$15,17,FALSE())/12))</f>
        <v>0</v>
      </c>
      <c r="X17" s="31" t="n">
        <f aca="false">VLOOKUP(Q17,'Desl. Base Blumenau'!$C$5:$Q$15,14,FALSE())</f>
        <v>0</v>
      </c>
      <c r="Y17" s="31" t="n">
        <f aca="false">VLOOKUP(Q17,'Desl. Base Blumenau'!$C$5:$Q$15,13,FALSE())*'Desl. Base Blumenau'!$E$20+'Desl. Base Blumenau'!$E$21*N17/12</f>
        <v>28.8846666666667</v>
      </c>
      <c r="Z17" s="31" t="n">
        <f aca="false">(H17/$AC$5)*'Equipe Técnica'!$C$13</f>
        <v>481.452232190354</v>
      </c>
      <c r="AA17" s="31" t="n">
        <f aca="false">(I17/$AC$5)*'Equipe Técnica'!$C$13</f>
        <v>577.742678628425</v>
      </c>
      <c r="AB17" s="31" t="n">
        <f aca="false">(L17/$AC$5)*'Equipe Técnica'!$C$13</f>
        <v>1011.04968759974</v>
      </c>
      <c r="AC17" s="31" t="n">
        <f aca="false">(M17/$AC$5)*'Equipe Técnica'!$C$13</f>
        <v>1011.04968759974</v>
      </c>
      <c r="AD17" s="31" t="n">
        <f aca="false">R17+(($V17+$W17+$X17+$Y17)*12/19)+$Z17</f>
        <v>611.015992228631</v>
      </c>
      <c r="AE17" s="31" t="n">
        <f aca="false">S17+(($V17+$W17+$X17+$Y17)*12/19)+$AA17</f>
        <v>729.111546303066</v>
      </c>
      <c r="AF17" s="31" t="n">
        <f aca="false">T17+(($V17+$W17+$X17+$Y17)*12/19)+$AB17</f>
        <v>1260.54153963802</v>
      </c>
      <c r="AG17" s="31" t="n">
        <f aca="false">U17+(($V17+$W17+$X17+$Y17)*12/19)+$AC17</f>
        <v>1260.54153963802</v>
      </c>
      <c r="AH17" s="2"/>
      <c r="AI17" s="29" t="str">
        <f aca="false">B17</f>
        <v>GEX/APS BLUMENAU</v>
      </c>
      <c r="AJ17" s="75" t="n">
        <f aca="false">VLOOKUP(AI17,Unidades!D$5:H$24,5,)</f>
        <v>0.3142</v>
      </c>
      <c r="AK17" s="54" t="n">
        <f aca="false">AD17*(1+$AJ17)</f>
        <v>802.997216986867</v>
      </c>
      <c r="AL17" s="54" t="n">
        <f aca="false">AE17*(1+$AJ17)</f>
        <v>958.198394151489</v>
      </c>
      <c r="AM17" s="54" t="n">
        <f aca="false">AF17*(1+$AJ17)</f>
        <v>1656.60369139229</v>
      </c>
      <c r="AN17" s="54" t="n">
        <f aca="false">AG17*(1+$AJ17)</f>
        <v>1656.60369139229</v>
      </c>
      <c r="AO17" s="54" t="n">
        <f aca="false">((AK17*12)+(AL17*4)+(AM17*2)+AN17)/12</f>
        <v>1536.5476045521</v>
      </c>
      <c r="AP17" s="54" t="n">
        <f aca="false">AO17*$AP$6</f>
        <v>4050.89823018281</v>
      </c>
      <c r="AQ17" s="54" t="n">
        <f aca="false">AO17+AP17</f>
        <v>5587.44583473492</v>
      </c>
      <c r="AR17" s="76"/>
      <c r="AS17" s="76"/>
      <c r="AT17" s="76"/>
      <c r="AU17" s="76"/>
      <c r="AV17" s="76"/>
      <c r="AW17" s="76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customFormat="false" ht="19.5" hidden="false" customHeight="true" outlineLevel="0" collapsed="false">
      <c r="A18" s="61"/>
      <c r="B18" s="38"/>
      <c r="C18" s="80" t="n">
        <f aca="false">SUM(C7:C17)</f>
        <v>12059.1</v>
      </c>
      <c r="D18" s="80" t="n">
        <f aca="false">SUM(D7:D17)</f>
        <v>7463.49</v>
      </c>
      <c r="E18" s="80" t="n">
        <f aca="false">SUM(E7:E17)</f>
        <v>2930.45</v>
      </c>
      <c r="F18" s="80" t="n">
        <f aca="false">SUM(F7:F17)</f>
        <v>1665.16</v>
      </c>
      <c r="G18" s="80" t="n">
        <f aca="false">SUM(G7:G17)</f>
        <v>8655.6635</v>
      </c>
      <c r="H18" s="81" t="n">
        <f aca="false">SUM(H7:H17)</f>
        <v>18.5</v>
      </c>
      <c r="I18" s="81" t="n">
        <f aca="false">SUM(I7:I17)</f>
        <v>22.2</v>
      </c>
      <c r="J18" s="81" t="n">
        <f aca="false">COUNTIF(J7:J17,"SIM")</f>
        <v>4</v>
      </c>
      <c r="K18" s="81" t="n">
        <f aca="false">COUNTIF(K7:K17,"SIM")</f>
        <v>3</v>
      </c>
      <c r="L18" s="81" t="n">
        <f aca="false">SUM(L7:L17)</f>
        <v>28.35</v>
      </c>
      <c r="M18" s="81" t="n">
        <f aca="false">SUM(M7:M17)</f>
        <v>40.35</v>
      </c>
      <c r="N18" s="81" t="n">
        <f aca="false">SUM(N7:N17)</f>
        <v>407.85</v>
      </c>
      <c r="O18" s="82" t="n">
        <f aca="false">SUM(O7:O17)</f>
        <v>22974.5268737273</v>
      </c>
      <c r="P18" s="83"/>
      <c r="Q18" s="81" t="s">
        <v>98</v>
      </c>
      <c r="R18" s="84" t="n">
        <f aca="false">SUM(R7:R17)</f>
        <v>1008.48622818182</v>
      </c>
      <c r="S18" s="84" t="n">
        <f aca="false">SUM(S7:S17)</f>
        <v>1210.18347381818</v>
      </c>
      <c r="T18" s="84" t="n">
        <f aca="false">SUM(T7:T17)</f>
        <v>1545.43700372727</v>
      </c>
      <c r="U18" s="84" t="n">
        <f aca="false">SUM(U7:U17)</f>
        <v>2941.08423281818</v>
      </c>
      <c r="V18" s="84" t="n">
        <f aca="false">SUM(V7:V17)</f>
        <v>624.832959131313</v>
      </c>
      <c r="W18" s="84" t="n">
        <f aca="false">SUM(W7:W17)</f>
        <v>0</v>
      </c>
      <c r="X18" s="84" t="n">
        <f aca="false">SUM(X7:X17)</f>
        <v>0</v>
      </c>
      <c r="Y18" s="84" t="n">
        <f aca="false">SUM(Y7:Y17)</f>
        <v>827.131</v>
      </c>
      <c r="Z18" s="84" t="n">
        <f aca="false">SUM(Z7:Z17)</f>
        <v>4453.43314776077</v>
      </c>
      <c r="AA18" s="84" t="n">
        <f aca="false">SUM(AA7:AA17)</f>
        <v>5344.11977731293</v>
      </c>
      <c r="AB18" s="84" t="n">
        <f aca="false">SUM(AB7:AB17)</f>
        <v>6824.58539129827</v>
      </c>
      <c r="AC18" s="84" t="n">
        <f aca="false">SUM(AC7:AC17)</f>
        <v>9713.29878444039</v>
      </c>
      <c r="AD18" s="84" t="n">
        <f aca="false">SUM(AD7:AD17)</f>
        <v>6378.94924486763</v>
      </c>
      <c r="AE18" s="84" t="n">
        <f aca="false">SUM(AE7:AE17)</f>
        <v>7471.33312005615</v>
      </c>
      <c r="AF18" s="84" t="n">
        <f aca="false">SUM(AF7:AF17)</f>
        <v>9287.05226395058</v>
      </c>
      <c r="AG18" s="84" t="n">
        <f aca="false">SUM(AG7:AG17)</f>
        <v>13571.4128861836</v>
      </c>
      <c r="AH18" s="61"/>
      <c r="AI18" s="81" t="s">
        <v>98</v>
      </c>
      <c r="AJ18" s="81"/>
      <c r="AK18" s="85" t="n">
        <f aca="false">SUM(AK7:AK17)</f>
        <v>8205.89671938735</v>
      </c>
      <c r="AL18" s="85" t="n">
        <f aca="false">SUM(AL7:AL17)</f>
        <v>9611.82724303234</v>
      </c>
      <c r="AM18" s="85" t="n">
        <f aca="false">SUM(AM7:AM17)</f>
        <v>11956.849184094</v>
      </c>
      <c r="AN18" s="85" t="n">
        <f aca="false">SUM(AN7:AN17)</f>
        <v>17441.5409781848</v>
      </c>
      <c r="AO18" s="85" t="n">
        <f aca="false">SUM(AO7:AO17)</f>
        <v>14856.1090792625</v>
      </c>
      <c r="AP18" s="85" t="n">
        <f aca="false">SUM(AP7:AP17)</f>
        <v>39166.1057544194</v>
      </c>
      <c r="AQ18" s="85" t="n">
        <f aca="false">SUM(AQ7:AQ17)</f>
        <v>54022.2148336819</v>
      </c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  <c r="EX18" s="61"/>
      <c r="EY18" s="61"/>
      <c r="EZ18" s="61"/>
      <c r="FA18" s="61"/>
      <c r="FB18" s="61"/>
      <c r="FC18" s="61"/>
      <c r="FD18" s="61"/>
      <c r="FE18" s="61"/>
      <c r="FF18" s="61"/>
      <c r="FG18" s="61"/>
      <c r="FH18" s="61"/>
      <c r="FI18" s="61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61"/>
      <c r="FU18" s="61"/>
      <c r="FV18" s="61"/>
      <c r="FW18" s="61"/>
      <c r="FX18" s="61"/>
      <c r="FY18" s="61"/>
      <c r="FZ18" s="61"/>
      <c r="GA18" s="61"/>
      <c r="GB18" s="61"/>
      <c r="GC18" s="61"/>
      <c r="GD18" s="61"/>
      <c r="GE18" s="61"/>
      <c r="GF18" s="61"/>
      <c r="GG18" s="61"/>
      <c r="GH18" s="61"/>
      <c r="GI18" s="61"/>
      <c r="GJ18" s="61"/>
      <c r="GK18" s="61"/>
      <c r="GL18" s="61"/>
      <c r="GM18" s="61"/>
      <c r="GN18" s="61"/>
      <c r="GO18" s="61"/>
      <c r="GP18" s="61"/>
      <c r="GQ18" s="61"/>
      <c r="GR18" s="61"/>
      <c r="GS18" s="61"/>
      <c r="GT18" s="61"/>
      <c r="GU18" s="61"/>
      <c r="GV18" s="61"/>
      <c r="GW18" s="61"/>
      <c r="GX18" s="61"/>
      <c r="GY18" s="61"/>
      <c r="GZ18" s="61"/>
      <c r="HA18" s="61"/>
      <c r="HB18" s="61"/>
      <c r="HC18" s="61"/>
      <c r="HD18" s="61"/>
      <c r="HE18" s="61"/>
      <c r="HF18" s="61"/>
      <c r="HG18" s="61"/>
      <c r="HH18" s="61"/>
      <c r="HI18" s="61"/>
      <c r="HJ18" s="61"/>
      <c r="HK18" s="61"/>
      <c r="HL18" s="61"/>
      <c r="HM18" s="61"/>
      <c r="HN18" s="61"/>
      <c r="HO18" s="61"/>
      <c r="HP18" s="61"/>
      <c r="HQ18" s="61"/>
      <c r="HR18" s="61"/>
      <c r="HS18" s="61"/>
      <c r="HT18" s="61"/>
      <c r="HU18" s="61"/>
      <c r="HV18" s="61"/>
      <c r="HW18" s="61"/>
      <c r="HX18" s="61"/>
      <c r="HY18" s="61"/>
      <c r="HZ18" s="61"/>
      <c r="IA18" s="61"/>
      <c r="IB18" s="61"/>
      <c r="IC18" s="61"/>
      <c r="ID18" s="61"/>
      <c r="IE18" s="61"/>
      <c r="IF18" s="61"/>
      <c r="IG18" s="61"/>
      <c r="IH18" s="61"/>
      <c r="II18" s="61"/>
      <c r="IJ18" s="61"/>
      <c r="IK18" s="61"/>
      <c r="IL18" s="61"/>
      <c r="IM18" s="61"/>
      <c r="IN18" s="61"/>
      <c r="IO18" s="61"/>
      <c r="IP18" s="61"/>
      <c r="IQ18" s="61"/>
      <c r="IR18" s="61"/>
      <c r="IS18" s="61"/>
      <c r="IT18" s="61"/>
      <c r="IU18" s="61"/>
      <c r="IV18" s="61"/>
    </row>
    <row r="19" customFormat="false" ht="18" hidden="false" customHeight="true" outlineLevel="0" collapsed="false">
      <c r="H19" s="86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62"/>
      <c r="AE19" s="62"/>
      <c r="AF19" s="62"/>
      <c r="AG19" s="62"/>
    </row>
    <row r="20" customFormat="false" ht="39.75" hidden="false" customHeight="true" outlineLevel="0" collapsed="false">
      <c r="B20" s="53" t="s">
        <v>30</v>
      </c>
      <c r="C20" s="88" t="s">
        <v>99</v>
      </c>
      <c r="D20" s="88" t="s">
        <v>100</v>
      </c>
      <c r="E20" s="88" t="s">
        <v>101</v>
      </c>
      <c r="R20" s="89"/>
      <c r="Z20" s="89"/>
      <c r="AA20" s="89"/>
      <c r="AB20" s="89"/>
      <c r="AC20" s="89"/>
    </row>
    <row r="21" customFormat="false" ht="18" hidden="false" customHeight="true" outlineLevel="0" collapsed="false">
      <c r="B21" s="53"/>
      <c r="C21" s="31" t="n">
        <f aca="false">'Comp. Oficial de Manutenção'!D11</f>
        <v>31.1027690909091</v>
      </c>
      <c r="D21" s="31" t="n">
        <v>23.41</v>
      </c>
      <c r="E21" s="31" t="n">
        <v>41.08</v>
      </c>
    </row>
    <row r="22" customFormat="false" ht="28.5" hidden="false" customHeight="true" outlineLevel="0" collapsed="false">
      <c r="B22" s="57" t="s">
        <v>37</v>
      </c>
    </row>
    <row r="23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8:AJ18"/>
    <mergeCell ref="B20:B21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90" width="12.62"/>
    <col collapsed="false" customWidth="true" hidden="false" outlineLevel="0" max="3" min="3" style="90" width="32.62"/>
    <col collapsed="false" customWidth="true" hidden="false" outlineLevel="0" max="13" min="4" style="90" width="9.62"/>
    <col collapsed="false" customWidth="true" hidden="false" outlineLevel="0" max="15" min="14" style="91" width="9.62"/>
    <col collapsed="false" customWidth="true" hidden="false" outlineLevel="0" max="17" min="16" style="90" width="9.62"/>
    <col collapsed="false" customWidth="true" hidden="false" outlineLevel="0" max="18" min="18" style="90" width="11.38"/>
    <col collapsed="false" customWidth="true" hidden="false" outlineLevel="0" max="19" min="19" style="90" width="16.26"/>
    <col collapsed="false" customWidth="true" hidden="false" outlineLevel="0" max="260" min="20" style="90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5" t="str">
        <f aca="false">"DESLOCAMENTO BASE "&amp;Resumo!B5</f>
        <v>DESLOCAMENTO BASE BLUMENAU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customFormat="false" ht="15" hidden="false" customHeight="true" outlineLevel="0" collapsed="false"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customFormat="false" ht="37.5" hidden="false" customHeight="true" outlineLevel="0" collapsed="false">
      <c r="B4" s="28" t="s">
        <v>102</v>
      </c>
      <c r="C4" s="28" t="str">
        <f aca="false">"Rota (saída e retorno "&amp;Resumo!B5&amp;")"</f>
        <v>Rota (saída e retorno BLUMENAU)</v>
      </c>
      <c r="D4" s="28" t="s">
        <v>103</v>
      </c>
      <c r="E4" s="28" t="s">
        <v>104</v>
      </c>
      <c r="F4" s="28" t="s">
        <v>105</v>
      </c>
      <c r="G4" s="28" t="s">
        <v>106</v>
      </c>
      <c r="H4" s="28" t="s">
        <v>107</v>
      </c>
      <c r="I4" s="28" t="s">
        <v>108</v>
      </c>
      <c r="J4" s="28" t="s">
        <v>109</v>
      </c>
      <c r="K4" s="28" t="s">
        <v>110</v>
      </c>
      <c r="L4" s="28" t="s">
        <v>111</v>
      </c>
      <c r="M4" s="93" t="s">
        <v>112</v>
      </c>
      <c r="N4" s="28" t="s">
        <v>113</v>
      </c>
      <c r="O4" s="93" t="s">
        <v>114</v>
      </c>
      <c r="P4" s="28" t="s">
        <v>115</v>
      </c>
      <c r="Q4" s="93" t="s">
        <v>67</v>
      </c>
      <c r="R4" s="38" t="s">
        <v>116</v>
      </c>
      <c r="S4" s="38" t="s">
        <v>117</v>
      </c>
    </row>
    <row r="5" customFormat="false" ht="15.75" hidden="false" customHeight="true" outlineLevel="0" collapsed="false">
      <c r="B5" s="56" t="n">
        <v>1</v>
      </c>
      <c r="C5" s="94" t="s">
        <v>97</v>
      </c>
      <c r="D5" s="95" t="n">
        <v>1.7</v>
      </c>
      <c r="E5" s="95" t="n">
        <v>1.3</v>
      </c>
      <c r="F5" s="95" t="n">
        <v>0</v>
      </c>
      <c r="G5" s="96" t="n">
        <f aca="false">SUM(D5:F5)</f>
        <v>3</v>
      </c>
      <c r="H5" s="97" t="n">
        <v>4</v>
      </c>
      <c r="I5" s="97" t="n">
        <v>4</v>
      </c>
      <c r="J5" s="97" t="n">
        <v>0</v>
      </c>
      <c r="K5" s="98" t="n">
        <f aca="false">SUM(H5:J5)</f>
        <v>8</v>
      </c>
      <c r="L5" s="99" t="n">
        <f aca="false">K5/60</f>
        <v>0.133333333333333</v>
      </c>
      <c r="M5" s="100" t="n">
        <v>0</v>
      </c>
      <c r="N5" s="101" t="n">
        <v>2</v>
      </c>
      <c r="O5" s="102" t="n">
        <f aca="false">L5/N5</f>
        <v>0.0666666666666667</v>
      </c>
      <c r="P5" s="103" t="n">
        <f aca="false">M5/N5</f>
        <v>0</v>
      </c>
      <c r="Q5" s="104" t="n">
        <v>0</v>
      </c>
      <c r="R5" s="105" t="str">
        <f aca="false">INDEX('Base Blumenau'!$K$7:$K$25,MATCH(C5,'Base Blumenau'!$B$7:$B$25,0))</f>
        <v>NÃO</v>
      </c>
      <c r="S5" s="106" t="n">
        <v>0</v>
      </c>
    </row>
    <row r="6" customFormat="false" ht="15.75" hidden="false" customHeight="true" outlineLevel="0" collapsed="false">
      <c r="B6" s="56"/>
      <c r="C6" s="94" t="s">
        <v>96</v>
      </c>
      <c r="D6" s="95"/>
      <c r="E6" s="95"/>
      <c r="F6" s="95"/>
      <c r="G6" s="96"/>
      <c r="H6" s="97"/>
      <c r="I6" s="97"/>
      <c r="J6" s="97"/>
      <c r="K6" s="98"/>
      <c r="L6" s="99"/>
      <c r="M6" s="100"/>
      <c r="N6" s="101"/>
      <c r="O6" s="107" t="n">
        <f aca="false">O5</f>
        <v>0.0666666666666667</v>
      </c>
      <c r="P6" s="108" t="n">
        <f aca="false">P5</f>
        <v>0</v>
      </c>
      <c r="Q6" s="109" t="n">
        <v>0</v>
      </c>
      <c r="R6" s="105" t="str">
        <f aca="false">INDEX('Base Blumenau'!$K$7:$K$25,MATCH(C6,'Base Blumenau'!$B$7:$B$25,0))</f>
        <v>NÃO</v>
      </c>
      <c r="S6" s="106" t="n">
        <v>0</v>
      </c>
    </row>
    <row r="7" customFormat="false" ht="15.75" hidden="false" customHeight="true" outlineLevel="0" collapsed="false">
      <c r="B7" s="56" t="n">
        <v>2</v>
      </c>
      <c r="C7" s="94" t="s">
        <v>85</v>
      </c>
      <c r="D7" s="95" t="n">
        <v>75.8</v>
      </c>
      <c r="E7" s="95" t="n">
        <v>27.9</v>
      </c>
      <c r="F7" s="95" t="n">
        <v>95.4</v>
      </c>
      <c r="G7" s="96" t="n">
        <f aca="false">SUM(D7:F7)</f>
        <v>199.1</v>
      </c>
      <c r="H7" s="97" t="n">
        <v>71</v>
      </c>
      <c r="I7" s="97" t="n">
        <v>30</v>
      </c>
      <c r="J7" s="97" t="n">
        <v>102</v>
      </c>
      <c r="K7" s="98" t="n">
        <f aca="false">SUM(H7:J7)</f>
        <v>203</v>
      </c>
      <c r="L7" s="99" t="n">
        <f aca="false">K7/60</f>
        <v>3.38333333333333</v>
      </c>
      <c r="M7" s="100" t="n">
        <v>0</v>
      </c>
      <c r="N7" s="110" t="n">
        <v>2</v>
      </c>
      <c r="O7" s="111" t="n">
        <f aca="false">L7/N7</f>
        <v>1.69166666666667</v>
      </c>
      <c r="P7" s="112" t="n">
        <f aca="false">M7/N7</f>
        <v>0</v>
      </c>
      <c r="Q7" s="104" t="n">
        <v>0</v>
      </c>
      <c r="R7" s="105" t="str">
        <f aca="false">INDEX('Base Blumenau'!$K$7:$K$25,MATCH(C7,'Base Blumenau'!$B$7:$B$25,0))</f>
        <v>SIM</v>
      </c>
      <c r="S7" s="106" t="n">
        <v>1</v>
      </c>
    </row>
    <row r="8" customFormat="false" ht="15.75" hidden="false" customHeight="true" outlineLevel="0" collapsed="false">
      <c r="B8" s="56"/>
      <c r="C8" s="94" t="s">
        <v>92</v>
      </c>
      <c r="D8" s="95"/>
      <c r="E8" s="95"/>
      <c r="F8" s="95"/>
      <c r="G8" s="96"/>
      <c r="H8" s="97"/>
      <c r="I8" s="97"/>
      <c r="J8" s="97"/>
      <c r="K8" s="98"/>
      <c r="L8" s="99"/>
      <c r="M8" s="100"/>
      <c r="N8" s="110"/>
      <c r="O8" s="107" t="n">
        <f aca="false">O7</f>
        <v>1.69166666666667</v>
      </c>
      <c r="P8" s="113" t="n">
        <f aca="false">P7</f>
        <v>0</v>
      </c>
      <c r="Q8" s="114" t="n">
        <v>0</v>
      </c>
      <c r="R8" s="105" t="str">
        <f aca="false">INDEX('Base Blumenau'!$K$7:$K$25,MATCH(C8,'Base Blumenau'!$B$7:$B$25,0))</f>
        <v>SIM</v>
      </c>
      <c r="S8" s="106" t="n">
        <v>1</v>
      </c>
    </row>
    <row r="9" customFormat="false" ht="15.75" hidden="false" customHeight="true" outlineLevel="0" collapsed="false">
      <c r="B9" s="56" t="n">
        <v>3</v>
      </c>
      <c r="C9" s="94" t="s">
        <v>81</v>
      </c>
      <c r="D9" s="95" t="n">
        <v>68.1</v>
      </c>
      <c r="E9" s="95" t="n">
        <v>41.8</v>
      </c>
      <c r="F9" s="95" t="n">
        <v>40.8</v>
      </c>
      <c r="G9" s="96" t="n">
        <f aca="false">SUM(D9:F9)</f>
        <v>150.7</v>
      </c>
      <c r="H9" s="95" t="n">
        <v>58</v>
      </c>
      <c r="I9" s="95" t="n">
        <v>41</v>
      </c>
      <c r="J9" s="95" t="n">
        <v>52</v>
      </c>
      <c r="K9" s="96" t="n">
        <f aca="false">SUM(H9:J9)</f>
        <v>151</v>
      </c>
      <c r="L9" s="99" t="n">
        <f aca="false">K9/60</f>
        <v>2.51666666666667</v>
      </c>
      <c r="M9" s="100" t="n">
        <v>0</v>
      </c>
      <c r="N9" s="110" t="n">
        <v>2</v>
      </c>
      <c r="O9" s="102" t="n">
        <f aca="false">L9/N9</f>
        <v>1.25833333333333</v>
      </c>
      <c r="P9" s="104" t="n">
        <f aca="false">M9/N9</f>
        <v>0</v>
      </c>
      <c r="Q9" s="109" t="n">
        <v>0</v>
      </c>
      <c r="R9" s="105" t="str">
        <f aca="false">INDEX('Base Blumenau'!$K$7:$K$25,MATCH(C9,'Base Blumenau'!$B$7:$B$25,0))</f>
        <v>NÃO</v>
      </c>
      <c r="S9" s="106" t="n">
        <v>0</v>
      </c>
    </row>
    <row r="10" customFormat="false" ht="15.75" hidden="false" customHeight="true" outlineLevel="0" collapsed="false">
      <c r="B10" s="56"/>
      <c r="C10" s="94" t="s">
        <v>83</v>
      </c>
      <c r="D10" s="95"/>
      <c r="E10" s="95"/>
      <c r="F10" s="95"/>
      <c r="G10" s="96"/>
      <c r="H10" s="95"/>
      <c r="I10" s="95"/>
      <c r="J10" s="95"/>
      <c r="K10" s="96"/>
      <c r="L10" s="99"/>
      <c r="M10" s="100"/>
      <c r="N10" s="110"/>
      <c r="O10" s="107" t="n">
        <f aca="false">O9</f>
        <v>1.25833333333333</v>
      </c>
      <c r="P10" s="114" t="n">
        <f aca="false">P9</f>
        <v>0</v>
      </c>
      <c r="Q10" s="114" t="n">
        <v>0</v>
      </c>
      <c r="R10" s="105" t="str">
        <f aca="false">INDEX('Base Blumenau'!$K$7:$K$25,MATCH(C10,'Base Blumenau'!$B$7:$B$25,0))</f>
        <v>NÃO</v>
      </c>
      <c r="S10" s="106" t="n">
        <v>0</v>
      </c>
    </row>
    <row r="11" customFormat="false" ht="15.75" hidden="false" customHeight="true" outlineLevel="0" collapsed="false">
      <c r="B11" s="56" t="n">
        <v>4</v>
      </c>
      <c r="C11" s="94" t="s">
        <v>87</v>
      </c>
      <c r="D11" s="95" t="n">
        <v>60.3</v>
      </c>
      <c r="E11" s="95" t="n">
        <v>26.8</v>
      </c>
      <c r="F11" s="95" t="n">
        <v>61.9</v>
      </c>
      <c r="G11" s="96" t="n">
        <f aca="false">SUM(D11:F11)</f>
        <v>149</v>
      </c>
      <c r="H11" s="95" t="n">
        <v>59</v>
      </c>
      <c r="I11" s="95" t="n">
        <v>31</v>
      </c>
      <c r="J11" s="95" t="n">
        <v>53</v>
      </c>
      <c r="K11" s="96" t="n">
        <f aca="false">SUM(H11:J11)</f>
        <v>143</v>
      </c>
      <c r="L11" s="99" t="n">
        <f aca="false">K11/60</f>
        <v>2.38333333333333</v>
      </c>
      <c r="M11" s="100" t="n">
        <v>0</v>
      </c>
      <c r="N11" s="110" t="n">
        <v>2</v>
      </c>
      <c r="O11" s="102" t="n">
        <f aca="false">L11/N11</f>
        <v>1.19166666666667</v>
      </c>
      <c r="P11" s="104" t="n">
        <f aca="false">M11/N11</f>
        <v>0</v>
      </c>
      <c r="Q11" s="104" t="n">
        <v>0</v>
      </c>
      <c r="R11" s="105" t="str">
        <f aca="false">INDEX('Base Blumenau'!$K$7:$K$25,MATCH(C11,'Base Blumenau'!$B$7:$B$25,0))</f>
        <v>SIM</v>
      </c>
      <c r="S11" s="106" t="n">
        <v>1</v>
      </c>
    </row>
    <row r="12" customFormat="false" ht="15.75" hidden="false" customHeight="true" outlineLevel="0" collapsed="false">
      <c r="B12" s="56"/>
      <c r="C12" s="94" t="s">
        <v>89</v>
      </c>
      <c r="D12" s="95"/>
      <c r="E12" s="95"/>
      <c r="F12" s="95"/>
      <c r="G12" s="96"/>
      <c r="H12" s="95"/>
      <c r="I12" s="95"/>
      <c r="J12" s="95"/>
      <c r="K12" s="96"/>
      <c r="L12" s="99"/>
      <c r="M12" s="100" t="n">
        <v>0</v>
      </c>
      <c r="N12" s="110"/>
      <c r="O12" s="107" t="n">
        <f aca="false">O11</f>
        <v>1.19166666666667</v>
      </c>
      <c r="P12" s="114" t="n">
        <f aca="false">P11</f>
        <v>0</v>
      </c>
      <c r="Q12" s="114" t="n">
        <v>0</v>
      </c>
      <c r="R12" s="105" t="str">
        <f aca="false">INDEX('Base Blumenau'!$K$7:$K$25,MATCH(C12,'Base Blumenau'!$B$7:$B$25,0))</f>
        <v>NÃO</v>
      </c>
      <c r="S12" s="106" t="n">
        <v>1</v>
      </c>
    </row>
    <row r="13" customFormat="false" ht="14.25" hidden="false" customHeight="false" outlineLevel="0" collapsed="false">
      <c r="B13" s="56" t="n">
        <v>5</v>
      </c>
      <c r="C13" s="94" t="s">
        <v>86</v>
      </c>
      <c r="D13" s="95" t="n">
        <v>24.8</v>
      </c>
      <c r="E13" s="95" t="n">
        <v>11.1</v>
      </c>
      <c r="F13" s="95" t="n">
        <v>29.1</v>
      </c>
      <c r="G13" s="96" t="n">
        <f aca="false">SUM(D13:F13)</f>
        <v>65</v>
      </c>
      <c r="H13" s="95" t="n">
        <v>33</v>
      </c>
      <c r="I13" s="95" t="n">
        <v>15</v>
      </c>
      <c r="J13" s="95" t="n">
        <v>37</v>
      </c>
      <c r="K13" s="96" t="n">
        <f aca="false">SUM(H13:J13)</f>
        <v>85</v>
      </c>
      <c r="L13" s="99" t="n">
        <f aca="false">K13/60</f>
        <v>1.41666666666667</v>
      </c>
      <c r="M13" s="100" t="n">
        <v>0</v>
      </c>
      <c r="N13" s="110" t="n">
        <v>2</v>
      </c>
      <c r="O13" s="102" t="n">
        <f aca="false">L13/N13</f>
        <v>0.708333333333333</v>
      </c>
      <c r="P13" s="104" t="n">
        <f aca="false">M13/N13</f>
        <v>0</v>
      </c>
      <c r="Q13" s="104" t="n">
        <v>0</v>
      </c>
      <c r="R13" s="105" t="str">
        <f aca="false">INDEX('Base Blumenau'!$K$7:$K$25,MATCH(C13,'Base Blumenau'!$B$7:$B$25,0))</f>
        <v>NÃO</v>
      </c>
      <c r="S13" s="106" t="n">
        <v>0</v>
      </c>
    </row>
    <row r="14" customFormat="false" ht="15.75" hidden="false" customHeight="true" outlineLevel="0" collapsed="false">
      <c r="B14" s="56"/>
      <c r="C14" s="94" t="s">
        <v>94</v>
      </c>
      <c r="D14" s="95"/>
      <c r="E14" s="95"/>
      <c r="F14" s="95"/>
      <c r="G14" s="96"/>
      <c r="H14" s="95"/>
      <c r="I14" s="95"/>
      <c r="J14" s="95"/>
      <c r="K14" s="96"/>
      <c r="L14" s="99"/>
      <c r="M14" s="100"/>
      <c r="N14" s="110"/>
      <c r="O14" s="107" t="n">
        <f aca="false">O13</f>
        <v>0.708333333333333</v>
      </c>
      <c r="P14" s="114" t="n">
        <f aca="false">P13</f>
        <v>0</v>
      </c>
      <c r="Q14" s="114" t="n">
        <v>0</v>
      </c>
      <c r="R14" s="105" t="str">
        <f aca="false">INDEX('Base Blumenau'!$K$7:$K$25,MATCH(C14,'Base Blumenau'!$B$7:$B$25,0))</f>
        <v>NÃO</v>
      </c>
      <c r="S14" s="106" t="n">
        <v>0</v>
      </c>
    </row>
    <row r="15" customFormat="false" ht="15.75" hidden="false" customHeight="true" outlineLevel="0" collapsed="false">
      <c r="B15" s="115" t="n">
        <v>6</v>
      </c>
      <c r="C15" s="94" t="s">
        <v>90</v>
      </c>
      <c r="D15" s="116" t="n">
        <v>30</v>
      </c>
      <c r="E15" s="116" t="n">
        <v>31.3</v>
      </c>
      <c r="F15" s="116" t="n">
        <v>0</v>
      </c>
      <c r="G15" s="117" t="n">
        <f aca="false">SUM(D15:F15)</f>
        <v>61.3</v>
      </c>
      <c r="H15" s="95" t="n">
        <v>37</v>
      </c>
      <c r="I15" s="95" t="n">
        <v>39</v>
      </c>
      <c r="J15" s="95" t="n">
        <v>0</v>
      </c>
      <c r="K15" s="96" t="n">
        <f aca="false">SUM(H15:J15)</f>
        <v>76</v>
      </c>
      <c r="L15" s="118" t="n">
        <f aca="false">K15/60</f>
        <v>1.26666666666667</v>
      </c>
      <c r="M15" s="119" t="n">
        <v>0</v>
      </c>
      <c r="N15" s="120" t="n">
        <v>1</v>
      </c>
      <c r="O15" s="121" t="n">
        <f aca="false">L15/N15</f>
        <v>1.26666666666667</v>
      </c>
      <c r="P15" s="119" t="n">
        <f aca="false">M15/N15</f>
        <v>0</v>
      </c>
      <c r="Q15" s="122" t="n">
        <v>0</v>
      </c>
      <c r="R15" s="105" t="str">
        <f aca="false">INDEX('Base Blumenau'!$K$7:$K$25,MATCH(C15,'Base Blumenau'!$B$7:$B$25,0))</f>
        <v>NÃO</v>
      </c>
      <c r="S15" s="106" t="n">
        <v>0</v>
      </c>
    </row>
    <row r="16" customFormat="false" ht="19.5" hidden="false" customHeight="true" outlineLevel="0" collapsed="false">
      <c r="B16" s="123" t="s">
        <v>98</v>
      </c>
      <c r="C16" s="123"/>
      <c r="D16" s="123"/>
      <c r="E16" s="123"/>
      <c r="F16" s="123"/>
      <c r="G16" s="124" t="n">
        <f aca="false">SUM(G5:G15)</f>
        <v>628.1</v>
      </c>
      <c r="H16" s="124" t="s">
        <v>98</v>
      </c>
      <c r="I16" s="124"/>
      <c r="J16" s="124"/>
      <c r="K16" s="124" t="n">
        <f aca="false">SUM(K5:K15)</f>
        <v>666</v>
      </c>
      <c r="L16" s="125" t="n">
        <f aca="false">SUM(L5:L15)</f>
        <v>11.1</v>
      </c>
      <c r="M16" s="126" t="n">
        <f aca="false">SUM(M5:M15)</f>
        <v>0</v>
      </c>
      <c r="N16" s="127" t="n">
        <f aca="false">SUM(N5:N15)</f>
        <v>11</v>
      </c>
      <c r="O16" s="128"/>
      <c r="P16" s="129"/>
      <c r="Q16" s="126" t="n">
        <f aca="false">SUM(Q5:Q15)</f>
        <v>0</v>
      </c>
      <c r="R16" s="126"/>
      <c r="S16" s="127"/>
    </row>
    <row r="17" customFormat="false" ht="16.5" hidden="false" customHeight="true" outlineLevel="0" collapsed="false">
      <c r="B17" s="130"/>
      <c r="C17" s="130"/>
      <c r="D17" s="130"/>
      <c r="E17" s="130"/>
      <c r="F17" s="130"/>
    </row>
    <row r="18" customFormat="false" ht="18.75" hidden="false" customHeight="true" outlineLevel="0" collapsed="false">
      <c r="B18" s="131" t="s">
        <v>118</v>
      </c>
      <c r="C18" s="131"/>
      <c r="D18" s="131"/>
      <c r="E18" s="131"/>
      <c r="F18" s="130"/>
      <c r="G18" s="130"/>
      <c r="H18" s="130"/>
      <c r="I18" s="130"/>
      <c r="J18" s="130"/>
      <c r="K18" s="130"/>
      <c r="L18" s="130"/>
      <c r="M18" s="130"/>
      <c r="N18" s="132"/>
      <c r="O18" s="132"/>
    </row>
    <row r="19" customFormat="false" ht="18.75" hidden="false" customHeight="true" outlineLevel="0" collapsed="false">
      <c r="B19" s="133" t="s">
        <v>119</v>
      </c>
      <c r="C19" s="133" t="s">
        <v>120</v>
      </c>
      <c r="D19" s="133" t="s">
        <v>121</v>
      </c>
      <c r="E19" s="133" t="s">
        <v>122</v>
      </c>
      <c r="F19" s="130"/>
      <c r="G19" s="130"/>
      <c r="H19" s="132"/>
      <c r="I19" s="132"/>
      <c r="J19" s="130"/>
      <c r="K19" s="130"/>
      <c r="L19" s="130"/>
      <c r="M19" s="130"/>
      <c r="N19" s="132"/>
      <c r="O19" s="132"/>
    </row>
    <row r="20" customFormat="false" ht="18.75" hidden="false" customHeight="true" outlineLevel="0" collapsed="false">
      <c r="B20" s="56" t="s">
        <v>123</v>
      </c>
      <c r="C20" s="134" t="s">
        <v>124</v>
      </c>
      <c r="D20" s="56" t="s">
        <v>125</v>
      </c>
      <c r="E20" s="135" t="n">
        <f aca="false">'Comp. Veículo'!D11</f>
        <v>54.43</v>
      </c>
      <c r="F20" s="130"/>
      <c r="G20" s="130"/>
      <c r="H20" s="136"/>
      <c r="I20" s="136"/>
      <c r="J20" s="130"/>
      <c r="K20" s="130"/>
      <c r="L20" s="130"/>
      <c r="M20" s="130"/>
      <c r="N20" s="132"/>
      <c r="O20" s="132"/>
    </row>
    <row r="21" customFormat="false" ht="18.75" hidden="false" customHeight="true" outlineLevel="0" collapsed="false">
      <c r="B21" s="115" t="s">
        <v>126</v>
      </c>
      <c r="C21" s="137" t="s">
        <v>124</v>
      </c>
      <c r="D21" s="115" t="s">
        <v>127</v>
      </c>
      <c r="E21" s="138" t="n">
        <f aca="false">'Comp. Veículo'!D27</f>
        <v>6.56</v>
      </c>
      <c r="F21" s="130"/>
      <c r="G21" s="130"/>
      <c r="H21" s="136"/>
      <c r="I21" s="136"/>
      <c r="J21" s="130"/>
      <c r="K21" s="130"/>
      <c r="L21" s="130"/>
      <c r="M21" s="130"/>
      <c r="N21" s="132"/>
      <c r="O21" s="132"/>
    </row>
    <row r="22" customFormat="false" ht="47.25" hidden="false" customHeight="true" outlineLevel="0" collapsed="false">
      <c r="B22" s="139" t="s">
        <v>128</v>
      </c>
      <c r="C22" s="139"/>
      <c r="D22" s="139"/>
      <c r="E22" s="139"/>
      <c r="F22" s="140"/>
      <c r="G22" s="140"/>
      <c r="H22" s="140"/>
      <c r="I22" s="140"/>
      <c r="J22" s="140"/>
      <c r="K22" s="140"/>
      <c r="L22" s="140"/>
      <c r="M22" s="130"/>
      <c r="N22" s="132"/>
      <c r="O22" s="132"/>
    </row>
    <row r="23" customFormat="false" ht="16.5" hidden="false" customHeight="true" outlineLevel="0" collapsed="false">
      <c r="B23" s="141"/>
      <c r="C23" s="141"/>
      <c r="D23" s="141"/>
      <c r="E23" s="141"/>
      <c r="F23" s="140"/>
      <c r="G23" s="140"/>
      <c r="H23" s="140"/>
      <c r="I23" s="140"/>
      <c r="J23" s="140"/>
      <c r="K23" s="140"/>
      <c r="L23" s="140"/>
      <c r="M23" s="130"/>
      <c r="N23" s="132"/>
      <c r="O23" s="132"/>
    </row>
    <row r="24" customFormat="false" ht="16.5" hidden="false" customHeight="true" outlineLevel="0" collapsed="false">
      <c r="B24" s="131" t="s">
        <v>129</v>
      </c>
      <c r="C24" s="131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2"/>
      <c r="O24" s="132"/>
    </row>
    <row r="25" customFormat="false" ht="16.5" hidden="false" customHeight="true" outlineLevel="0" collapsed="false">
      <c r="B25" s="56" t="s">
        <v>125</v>
      </c>
      <c r="C25" s="135" t="n">
        <f aca="false">E20*L16</f>
        <v>604.173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2"/>
      <c r="O25" s="132"/>
    </row>
    <row r="26" customFormat="false" ht="16.5" hidden="false" customHeight="true" outlineLevel="0" collapsed="false">
      <c r="B26" s="56" t="s">
        <v>127</v>
      </c>
      <c r="C26" s="135" t="n">
        <f aca="false">E21*('Base Blumenau'!N18/12)</f>
        <v>222.958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2"/>
      <c r="O26" s="132"/>
    </row>
    <row r="27" customFormat="false" ht="16.5" hidden="false" customHeight="true" outlineLevel="0" collapsed="false">
      <c r="B27" s="142" t="s">
        <v>28</v>
      </c>
      <c r="C27" s="143" t="n">
        <f aca="false">C25+C26</f>
        <v>827.131</v>
      </c>
      <c r="D27" s="130"/>
      <c r="E27" s="130"/>
      <c r="F27" s="130"/>
      <c r="G27" s="130"/>
      <c r="H27" s="130"/>
      <c r="I27" s="130"/>
      <c r="M27" s="130"/>
      <c r="N27" s="132"/>
      <c r="O27" s="132"/>
    </row>
    <row r="28" customFormat="false" ht="16.5" hidden="false" customHeight="true" outlineLevel="0" collapsed="false">
      <c r="B28" s="130"/>
      <c r="C28" s="144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2"/>
      <c r="O28" s="132"/>
    </row>
    <row r="29" customFormat="false" ht="16.5" hidden="false" customHeight="true" outlineLevel="0" collapsed="false">
      <c r="B29" s="145" t="s">
        <v>130</v>
      </c>
      <c r="C29" s="145"/>
      <c r="D29" s="130"/>
      <c r="J29" s="130"/>
      <c r="K29" s="130"/>
      <c r="L29" s="130"/>
      <c r="M29" s="130"/>
      <c r="N29" s="132"/>
      <c r="O29" s="132"/>
    </row>
    <row r="30" customFormat="false" ht="16.5" hidden="false" customHeight="true" outlineLevel="0" collapsed="false">
      <c r="B30" s="146" t="s">
        <v>122</v>
      </c>
      <c r="C30" s="147" t="n">
        <f aca="false">SUM(M5:M15)</f>
        <v>0</v>
      </c>
      <c r="J30" s="130"/>
      <c r="K30" s="130"/>
      <c r="L30" s="130"/>
      <c r="M30" s="130"/>
      <c r="N30" s="132"/>
      <c r="O30" s="132"/>
    </row>
    <row r="31" customFormat="false" ht="16.5" hidden="false" customHeight="true" outlineLevel="0" collapsed="false">
      <c r="B31" s="130"/>
      <c r="C31" s="148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2"/>
      <c r="O31" s="132"/>
    </row>
  </sheetData>
  <mergeCells count="67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6:F16"/>
    <mergeCell ref="H16:J16"/>
    <mergeCell ref="B18:E18"/>
    <mergeCell ref="B22:E22"/>
    <mergeCell ref="B24:C24"/>
    <mergeCell ref="B29:C2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65526"/>
  <sheetViews>
    <sheetView showFormulas="false" showGridLines="false" showRowColHeaders="true" showZeros="true" rightToLeft="false" tabSelected="false" showOutlineSymbols="true" defaultGridColor="true" view="normal" topLeftCell="AI1" colorId="64" zoomScale="100" zoomScaleNormal="100" zoomScalePageLayoutView="100" workbookViewId="0">
      <selection pane="topLeft" activeCell="AP6" activeCellId="0" sqref="AP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3" width="33.62"/>
    <col collapsed="false" customWidth="true" hidden="false" outlineLevel="0" max="15" min="3" style="23" width="12.62"/>
    <col collapsed="false" customWidth="true" hidden="false" outlineLevel="0" max="16" min="16" style="23" width="9.62"/>
    <col collapsed="false" customWidth="true" hidden="false" outlineLevel="0" max="17" min="17" style="23" width="33.62"/>
    <col collapsed="false" customWidth="true" hidden="false" outlineLevel="0" max="33" min="18" style="23" width="11.5"/>
    <col collapsed="false" customWidth="true" hidden="false" outlineLevel="0" max="34" min="34" style="23" width="11"/>
    <col collapsed="false" customWidth="true" hidden="false" outlineLevel="0" max="35" min="35" style="23" width="31"/>
    <col collapsed="false" customWidth="true" hidden="false" outlineLevel="0" max="38" min="36" style="23" width="10.75"/>
    <col collapsed="false" customWidth="true" hidden="false" outlineLevel="0" max="40" min="39" style="23" width="11.12"/>
    <col collapsed="false" customWidth="true" hidden="false" outlineLevel="0" max="41" min="41" style="23" width="14.5"/>
    <col collapsed="false" customWidth="true" hidden="false" outlineLevel="0" max="42" min="42" style="23" width="12.5"/>
    <col collapsed="false" customWidth="true" hidden="false" outlineLevel="0" max="43" min="43" style="23" width="14.25"/>
    <col collapsed="false" customWidth="true" hidden="false" outlineLevel="0" max="44" min="44" style="23" width="2.62"/>
    <col collapsed="false" customWidth="true" hidden="false" outlineLevel="0" max="45" min="45" style="23" width="28.12"/>
    <col collapsed="false" customWidth="true" hidden="false" outlineLevel="0" max="46" min="46" style="23" width="12.76"/>
    <col collapsed="false" customWidth="true" hidden="false" outlineLevel="0" max="49" min="47" style="23" width="11.75"/>
    <col collapsed="false" customWidth="true" hidden="false" outlineLevel="0" max="66" min="50" style="23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9" customFormat="true" ht="24.75" hidden="false" customHeight="true" outlineLevel="0" collapsed="false">
      <c r="B2" s="60" t="str">
        <f aca="false">"BASE "&amp;Resumo!B6&amp;" - PLANILHA DE FORMAÇÃO DE PREÇOS"</f>
        <v>BASE JOINVILLE - PLANILHA DE FORMAÇÃO DE PREÇOS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1"/>
      <c r="Q2" s="50" t="str">
        <f aca="false">"BASE "&amp;Resumo!B6&amp;" – PLANILHA DE DISTRIBUIÇÃO DE CUSTOS POR UNIDADE"</f>
        <v>BASE JOINVILLE – PLANILHA DE DISTRIBUIÇÃO DE CUSTOS POR UNIDADE</v>
      </c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1"/>
      <c r="AI2" s="63" t="str">
        <f aca="false">"BASE "&amp;Resumo!B6&amp;" – PLANILHA RESUMO DE CUSTOS DA BASE"</f>
        <v>BASE JOINVILLE – PLANILHA RESUMO DE CUSTOS DA BASE</v>
      </c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</row>
    <row r="3" customFormat="false" ht="15" hidden="false" customHeight="true" outlineLevel="0" collapsed="false">
      <c r="B3" s="59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</row>
    <row r="4" customFormat="false" ht="19.5" hidden="false" customHeight="true" outlineLevel="0" collapsed="false">
      <c r="B4" s="53" t="s">
        <v>41</v>
      </c>
      <c r="C4" s="53" t="s">
        <v>42</v>
      </c>
      <c r="D4" s="53"/>
      <c r="E4" s="53"/>
      <c r="F4" s="53"/>
      <c r="G4" s="53"/>
      <c r="H4" s="53" t="s">
        <v>43</v>
      </c>
      <c r="I4" s="53"/>
      <c r="J4" s="53"/>
      <c r="K4" s="53"/>
      <c r="L4" s="53"/>
      <c r="M4" s="53"/>
      <c r="N4" s="53"/>
      <c r="O4" s="53" t="s">
        <v>28</v>
      </c>
      <c r="P4" s="61"/>
      <c r="Q4" s="53" t="s">
        <v>44</v>
      </c>
      <c r="R4" s="64" t="s">
        <v>45</v>
      </c>
      <c r="S4" s="64"/>
      <c r="T4" s="64"/>
      <c r="U4" s="64"/>
      <c r="V4" s="64" t="s">
        <v>46</v>
      </c>
      <c r="W4" s="64"/>
      <c r="X4" s="64"/>
      <c r="Y4" s="64"/>
      <c r="Z4" s="64" t="s">
        <v>47</v>
      </c>
      <c r="AA4" s="64"/>
      <c r="AB4" s="64"/>
      <c r="AC4" s="64"/>
      <c r="AD4" s="64" t="s">
        <v>48</v>
      </c>
      <c r="AE4" s="64"/>
      <c r="AF4" s="64"/>
      <c r="AG4" s="64"/>
      <c r="AH4" s="62"/>
      <c r="AI4" s="53" t="s">
        <v>44</v>
      </c>
      <c r="AJ4" s="65" t="s">
        <v>49</v>
      </c>
      <c r="AK4" s="65"/>
      <c r="AL4" s="65"/>
      <c r="AM4" s="65"/>
      <c r="AN4" s="65"/>
      <c r="AO4" s="65" t="s">
        <v>50</v>
      </c>
      <c r="AP4" s="65"/>
      <c r="AQ4" s="65"/>
      <c r="AR4" s="66"/>
      <c r="AS4" s="65" t="str">
        <f aca="false">"Resumo de Custos da Base "&amp;Resumo!B6</f>
        <v>Resumo de Custos da Base JOINVILLE</v>
      </c>
      <c r="AT4" s="65"/>
      <c r="AU4" s="65"/>
      <c r="AV4" s="65"/>
      <c r="AW4" s="65"/>
    </row>
    <row r="5" customFormat="false" ht="39.75" hidden="false" customHeight="true" outlineLevel="0" collapsed="false">
      <c r="B5" s="53"/>
      <c r="C5" s="53" t="s">
        <v>28</v>
      </c>
      <c r="D5" s="53" t="s">
        <v>51</v>
      </c>
      <c r="E5" s="53" t="s">
        <v>52</v>
      </c>
      <c r="F5" s="53" t="s">
        <v>53</v>
      </c>
      <c r="G5" s="53" t="s">
        <v>54</v>
      </c>
      <c r="H5" s="53" t="s">
        <v>55</v>
      </c>
      <c r="I5" s="53" t="s">
        <v>56</v>
      </c>
      <c r="J5" s="53" t="s">
        <v>57</v>
      </c>
      <c r="K5" s="53" t="s">
        <v>58</v>
      </c>
      <c r="L5" s="53" t="s">
        <v>59</v>
      </c>
      <c r="M5" s="53" t="s">
        <v>60</v>
      </c>
      <c r="N5" s="53" t="s">
        <v>61</v>
      </c>
      <c r="O5" s="53"/>
      <c r="P5" s="61"/>
      <c r="Q5" s="53"/>
      <c r="R5" s="53" t="s">
        <v>62</v>
      </c>
      <c r="S5" s="53" t="s">
        <v>63</v>
      </c>
      <c r="T5" s="53" t="s">
        <v>64</v>
      </c>
      <c r="U5" s="53" t="s">
        <v>65</v>
      </c>
      <c r="V5" s="53" t="s">
        <v>66</v>
      </c>
      <c r="W5" s="53" t="s">
        <v>67</v>
      </c>
      <c r="X5" s="53" t="s">
        <v>68</v>
      </c>
      <c r="Y5" s="53" t="s">
        <v>69</v>
      </c>
      <c r="Z5" s="53" t="s">
        <v>70</v>
      </c>
      <c r="AA5" s="53"/>
      <c r="AB5" s="53"/>
      <c r="AC5" s="53" t="n">
        <f aca="false">N16+'Base Blumenau'!N18</f>
        <v>777.5</v>
      </c>
      <c r="AD5" s="64" t="s">
        <v>62</v>
      </c>
      <c r="AE5" s="64" t="s">
        <v>63</v>
      </c>
      <c r="AF5" s="64" t="s">
        <v>64</v>
      </c>
      <c r="AG5" s="64" t="s">
        <v>65</v>
      </c>
      <c r="AH5" s="49"/>
      <c r="AI5" s="53"/>
      <c r="AJ5" s="64" t="s">
        <v>71</v>
      </c>
      <c r="AK5" s="64" t="s">
        <v>62</v>
      </c>
      <c r="AL5" s="64" t="s">
        <v>63</v>
      </c>
      <c r="AM5" s="64" t="s">
        <v>64</v>
      </c>
      <c r="AN5" s="64" t="s">
        <v>65</v>
      </c>
      <c r="AO5" s="64" t="s">
        <v>72</v>
      </c>
      <c r="AP5" s="64" t="s">
        <v>73</v>
      </c>
      <c r="AQ5" s="64" t="s">
        <v>74</v>
      </c>
      <c r="AR5" s="62"/>
      <c r="AS5" s="64" t="s">
        <v>75</v>
      </c>
      <c r="AT5" s="64" t="s">
        <v>62</v>
      </c>
      <c r="AU5" s="64" t="s">
        <v>63</v>
      </c>
      <c r="AV5" s="64" t="s">
        <v>64</v>
      </c>
      <c r="AW5" s="64" t="s">
        <v>65</v>
      </c>
    </row>
    <row r="6" customFormat="false" ht="19.5" hidden="false" customHeight="true" outlineLevel="0" collapsed="false">
      <c r="B6" s="53"/>
      <c r="C6" s="67" t="s">
        <v>76</v>
      </c>
      <c r="D6" s="67" t="n">
        <v>1</v>
      </c>
      <c r="E6" s="67" t="n">
        <v>0.35</v>
      </c>
      <c r="F6" s="67" t="n">
        <v>0.1</v>
      </c>
      <c r="G6" s="53"/>
      <c r="H6" s="67" t="n">
        <v>1</v>
      </c>
      <c r="I6" s="67" t="n">
        <v>1.2</v>
      </c>
      <c r="J6" s="67" t="n">
        <v>2</v>
      </c>
      <c r="K6" s="67" t="n">
        <v>4</v>
      </c>
      <c r="L6" s="67" t="n">
        <v>1.1</v>
      </c>
      <c r="M6" s="67" t="n">
        <v>1.1</v>
      </c>
      <c r="N6" s="53"/>
      <c r="O6" s="53"/>
      <c r="P6" s="68"/>
      <c r="Q6" s="53"/>
      <c r="R6" s="67" t="s">
        <v>77</v>
      </c>
      <c r="S6" s="67" t="s">
        <v>78</v>
      </c>
      <c r="T6" s="67" t="s">
        <v>79</v>
      </c>
      <c r="U6" s="67" t="s">
        <v>80</v>
      </c>
      <c r="V6" s="53"/>
      <c r="W6" s="53"/>
      <c r="X6" s="53"/>
      <c r="Y6" s="53"/>
      <c r="Z6" s="41" t="s">
        <v>62</v>
      </c>
      <c r="AA6" s="41" t="s">
        <v>63</v>
      </c>
      <c r="AB6" s="41" t="s">
        <v>64</v>
      </c>
      <c r="AC6" s="41" t="s">
        <v>65</v>
      </c>
      <c r="AD6" s="64"/>
      <c r="AE6" s="64"/>
      <c r="AF6" s="64"/>
      <c r="AG6" s="64"/>
      <c r="AH6" s="62"/>
      <c r="AI6" s="53"/>
      <c r="AJ6" s="64"/>
      <c r="AK6" s="64"/>
      <c r="AL6" s="64"/>
      <c r="AM6" s="64"/>
      <c r="AN6" s="64"/>
      <c r="AO6" s="64"/>
      <c r="AP6" s="64" t="n">
        <f aca="false">'Base Blumenau'!AP6</f>
        <v>2.63636363636364</v>
      </c>
      <c r="AQ6" s="64"/>
      <c r="AR6" s="69"/>
      <c r="AS6" s="64"/>
      <c r="AT6" s="41" t="s">
        <v>77</v>
      </c>
      <c r="AU6" s="41" t="s">
        <v>78</v>
      </c>
      <c r="AV6" s="41" t="s">
        <v>79</v>
      </c>
      <c r="AW6" s="41" t="s">
        <v>80</v>
      </c>
    </row>
    <row r="7" customFormat="false" ht="15" hidden="false" customHeight="true" outlineLevel="0" collapsed="false">
      <c r="B7" s="70" t="s">
        <v>131</v>
      </c>
      <c r="C7" s="71" t="n">
        <f aca="false">VLOOKUP($B7,Unidades!$D$5:$N$24,6,FALSE())</f>
        <v>2098</v>
      </c>
      <c r="D7" s="71" t="n">
        <f aca="false">VLOOKUP($B7,Unidades!$D$5:$N$24,7,FALSE())</f>
        <v>661</v>
      </c>
      <c r="E7" s="71" t="n">
        <f aca="false">VLOOKUP($B7,Unidades!$D$5:$N$24,8,FALSE())</f>
        <v>742</v>
      </c>
      <c r="F7" s="71" t="n">
        <f aca="false">VLOOKUP($B7,Unidades!$D$5:$N$24,9,FALSE())</f>
        <v>695</v>
      </c>
      <c r="G7" s="71" t="n">
        <f aca="false">D7+$E$6*E7+$F$6*F7</f>
        <v>990.2</v>
      </c>
      <c r="H7" s="72" t="n">
        <f aca="false">IF(G7&lt;750,1.5,IF(G7&lt;2000,2,IF(G7&lt;4000,3,12)))</f>
        <v>2</v>
      </c>
      <c r="I7" s="72" t="n">
        <f aca="false">$I$6*H7</f>
        <v>2.4</v>
      </c>
      <c r="J7" s="72" t="str">
        <f aca="false">VLOOKUP($B7,Unidades!$D$5:$N$24,10,FALSE())</f>
        <v>SIM</v>
      </c>
      <c r="K7" s="72" t="str">
        <f aca="false">VLOOKUP($B7,Unidades!$D$5:$N$24,11,FALSE())</f>
        <v>SIM</v>
      </c>
      <c r="L7" s="72" t="n">
        <f aca="false">$L$6*H7+(IF(J7="SIM",$J$6,0))</f>
        <v>4.2</v>
      </c>
      <c r="M7" s="72" t="n">
        <f aca="false">$M$6*H7+(IF(J7="SIM",$J$6,0))+(IF(K7="SIM",$K$6,0))</f>
        <v>8.2</v>
      </c>
      <c r="N7" s="72" t="n">
        <f aca="false">H7*12+I7*4+L7*2+M7</f>
        <v>50.2</v>
      </c>
      <c r="O7" s="73" t="n">
        <f aca="false">IF(K7="não", N7*(C$19+D$19),N7*(C$19+D$19)+(M7*+E$19))</f>
        <v>3073.39700836364</v>
      </c>
      <c r="P7" s="74"/>
      <c r="Q7" s="29" t="str">
        <f aca="false">B7</f>
        <v>APS CANOINHAS</v>
      </c>
      <c r="R7" s="31" t="n">
        <f aca="false">H7*($C$19+$D$19)</f>
        <v>109.025538181818</v>
      </c>
      <c r="S7" s="31" t="n">
        <f aca="false">I7*($C$19+$D$19)</f>
        <v>130.830645818182</v>
      </c>
      <c r="T7" s="31" t="n">
        <f aca="false">L7*($C$19+$D$19)</f>
        <v>228.953630181818</v>
      </c>
      <c r="U7" s="31" t="n">
        <f aca="false">IF(K7="não",M7*($C$19+$D$19),M7*(C$19+D$19+E$19))</f>
        <v>783.860706545455</v>
      </c>
      <c r="V7" s="31" t="n">
        <f aca="false">VLOOKUP(Q7,'Desl. Base Joinville'!$C$5:$S$13,13,FALSE())*($C$19+$D$19+$E$19*(VLOOKUP(Q7,'Desl. Base Joinville'!$C$5:$S$13,17,FALSE())/12))</f>
        <v>180.084718368687</v>
      </c>
      <c r="W7" s="31" t="n">
        <f aca="false">VLOOKUP(Q7,'Desl. Base Joinville'!$C$5:$S$13,15,FALSE())*(2+(VLOOKUP(Q7,'Desl. Base Joinville'!$C$5:$S$13,17,FALSE())/12))</f>
        <v>290.416666666667</v>
      </c>
      <c r="X7" s="31" t="n">
        <f aca="false">VLOOKUP(Q7,'Desl. Base Joinville'!$C$5:$Q$13,14,FALSE())</f>
        <v>0</v>
      </c>
      <c r="Y7" s="31" t="n">
        <f aca="false">VLOOKUP(Q7,'Desl. Base Joinville'!$C$5:Q$13,13,FALSE())*'Desl. Base Joinville'!$E$18+'Desl. Base Joinville'!$E$19*N7/12</f>
        <v>196.62925</v>
      </c>
      <c r="Z7" s="31" t="n">
        <f aca="false">(H7/$AC$5)*'Equipe Técnica'!$C$13</f>
        <v>481.452232190354</v>
      </c>
      <c r="AA7" s="31" t="n">
        <f aca="false">(I7/$AC$5)*'Equipe Técnica'!$C$13</f>
        <v>577.742678628425</v>
      </c>
      <c r="AB7" s="31" t="n">
        <f aca="false">(L7/$AC$5)*'Equipe Técnica'!$C$13</f>
        <v>1011.04968759974</v>
      </c>
      <c r="AC7" s="31" t="n">
        <f aca="false">(M7/$AC$5)*'Equipe Técnica'!$C$13</f>
        <v>1973.95415198045</v>
      </c>
      <c r="AD7" s="31" t="n">
        <f aca="false">R7+(($V7+$W7+$X7+$Y7)*12/19)+$Z7</f>
        <v>1011.82343460503</v>
      </c>
      <c r="AE7" s="31" t="n">
        <f aca="false">S7+(($V7+$W7+$X7+$Y7)*12/19)+$AA7</f>
        <v>1129.91898867946</v>
      </c>
      <c r="AF7" s="31" t="n">
        <f aca="false">T7+(($V7+$W7+$X7+$Y7)*12/19)+$AB7</f>
        <v>1661.34898201442</v>
      </c>
      <c r="AG7" s="31" t="n">
        <f aca="false">U7+(($V7+$W7+$X7+$Y7)*12/19)+$AC7</f>
        <v>3179.16052275876</v>
      </c>
      <c r="AH7" s="149"/>
      <c r="AI7" s="29" t="str">
        <f aca="false">B7</f>
        <v>APS CANOINHAS</v>
      </c>
      <c r="AJ7" s="75" t="n">
        <f aca="false">VLOOKUP(AI7,Unidades!D$5:H$24,5,)</f>
        <v>0.2849</v>
      </c>
      <c r="AK7" s="54" t="n">
        <f aca="false">AD7*(1+$AJ7)</f>
        <v>1300.091931124</v>
      </c>
      <c r="AL7" s="54" t="n">
        <f aca="false">AE7*(1+$AJ7)</f>
        <v>1451.83290855424</v>
      </c>
      <c r="AM7" s="54" t="n">
        <f aca="false">AF7*(1+$AJ7)</f>
        <v>2134.66730699032</v>
      </c>
      <c r="AN7" s="54" t="n">
        <f aca="false">AG7*(1+$AJ7)</f>
        <v>4084.90335569273</v>
      </c>
      <c r="AO7" s="54" t="n">
        <f aca="false">((AK7*12)+(AL7*4)+(AM7*2)+AN7)/12</f>
        <v>2480.22273144819</v>
      </c>
      <c r="AP7" s="54" t="n">
        <f aca="false">AO7*$AP$6</f>
        <v>6538.76901927251</v>
      </c>
      <c r="AQ7" s="54" t="n">
        <f aca="false">AO7+AP7</f>
        <v>9018.99175072071</v>
      </c>
      <c r="AR7" s="76"/>
      <c r="AS7" s="77" t="s">
        <v>82</v>
      </c>
      <c r="AT7" s="54" t="n">
        <f aca="false">AK16</f>
        <v>8141.38293956081</v>
      </c>
      <c r="AU7" s="54" t="n">
        <f aca="false">AL16</f>
        <v>9382.34578371923</v>
      </c>
      <c r="AV7" s="54" t="n">
        <f aca="false">AM16</f>
        <v>11021.2094544151</v>
      </c>
      <c r="AW7" s="54" t="n">
        <f aca="false">AN16</f>
        <v>20477.3765784128</v>
      </c>
    </row>
    <row r="8" customFormat="false" ht="15" hidden="false" customHeight="true" outlineLevel="0" collapsed="false">
      <c r="B8" s="70" t="s">
        <v>132</v>
      </c>
      <c r="C8" s="71" t="n">
        <f aca="false">VLOOKUP($B8,Unidades!$D$5:$N$24,6,FALSE())</f>
        <v>334.4</v>
      </c>
      <c r="D8" s="71" t="n">
        <f aca="false">VLOOKUP($B8,Unidades!$D$5:$N$24,7,FALSE())</f>
        <v>296</v>
      </c>
      <c r="E8" s="71" t="n">
        <f aca="false">VLOOKUP($B8,Unidades!$D$5:$N$24,8,FALSE())</f>
        <v>38.4</v>
      </c>
      <c r="F8" s="71" t="n">
        <f aca="false">VLOOKUP($B8,Unidades!$D$5:$N$24,9,FALSE())</f>
        <v>0</v>
      </c>
      <c r="G8" s="71" t="n">
        <f aca="false">D8+$E$6*E8+$F$6*F8</f>
        <v>309.44</v>
      </c>
      <c r="H8" s="72" t="n">
        <f aca="false">IF(G8&lt;750,1.5,IF(G8&lt;2000,2,IF(G8&lt;4000,3,12)))</f>
        <v>1.5</v>
      </c>
      <c r="I8" s="72" t="n">
        <f aca="false">$I$6*H8</f>
        <v>1.8</v>
      </c>
      <c r="J8" s="72" t="str">
        <f aca="false">VLOOKUP($B8,Unidades!$D$5:$N$24,10,FALSE())</f>
        <v>NÃO</v>
      </c>
      <c r="K8" s="72" t="str">
        <f aca="false">VLOOKUP($B8,Unidades!$D$5:$N$24,11,FALSE())</f>
        <v>NÃO</v>
      </c>
      <c r="L8" s="72" t="n">
        <f aca="false">$L$6*H8+(IF(J8="SIM",$J$6,0))</f>
        <v>1.65</v>
      </c>
      <c r="M8" s="72" t="n">
        <f aca="false">$M$6*H8+(IF(J8="SIM",$J$6,0))+(IF(K8="SIM",$K$6,0))</f>
        <v>1.65</v>
      </c>
      <c r="N8" s="72" t="n">
        <f aca="false">H8*12+I8*4+L8*2+M8</f>
        <v>30.15</v>
      </c>
      <c r="O8" s="73" t="n">
        <f aca="false">IF(K8="não", N8*(C$19+D$19),N8*(C$19+D$19)+(M8*+E$19))</f>
        <v>1643.55998809091</v>
      </c>
      <c r="P8" s="74"/>
      <c r="Q8" s="29" t="str">
        <f aca="false">B8</f>
        <v>APS GUARAMIRIM</v>
      </c>
      <c r="R8" s="31" t="n">
        <f aca="false">H8*($C$19+$D$19)</f>
        <v>81.7691536363636</v>
      </c>
      <c r="S8" s="31" t="n">
        <f aca="false">I8*($C$19+$D$19)</f>
        <v>98.1229843636364</v>
      </c>
      <c r="T8" s="31" t="n">
        <f aca="false">L8*($C$19+$D$19)</f>
        <v>89.946069</v>
      </c>
      <c r="U8" s="31" t="n">
        <f aca="false">IF(K8="não",M8*($C$19+$D$19),M8*(C$19+D$19+E$19))</f>
        <v>89.946069</v>
      </c>
      <c r="V8" s="31" t="n">
        <f aca="false">VLOOKUP(Q8,'Desl. Base Joinville'!$C$5:$S$13,13,FALSE())*($C$19+$D$19+$E$19*(VLOOKUP(Q8,'Desl. Base Joinville'!$C$5:$S$13,17,FALSE())/12))</f>
        <v>49.2456870606061</v>
      </c>
      <c r="W8" s="31" t="n">
        <f aca="false">VLOOKUP(Q8,'Desl. Base Joinville'!$C$5:$S$13,15,FALSE())*(2+(VLOOKUP(Q8,'Desl. Base Joinville'!$C$5:$S$13,17,FALSE())/12))</f>
        <v>0</v>
      </c>
      <c r="X8" s="31" t="n">
        <f aca="false">VLOOKUP(Q8,'Desl. Base Joinville'!$C$5:$Q$13,14,FALSE())</f>
        <v>0</v>
      </c>
      <c r="Y8" s="31" t="n">
        <f aca="false">VLOOKUP(Q8,'Desl. Base Joinville'!$C$5:Q$13,13,FALSE())*'Desl. Base Joinville'!$E$18+'Desl. Base Joinville'!$E$19*N8/12</f>
        <v>62.7475</v>
      </c>
      <c r="Z8" s="31" t="n">
        <f aca="false">(H8/$AC$5)*'Equipe Técnica'!$C$13</f>
        <v>361.089174142765</v>
      </c>
      <c r="AA8" s="31" t="n">
        <f aca="false">(I8/$AC$5)*'Equipe Técnica'!$C$13</f>
        <v>433.307008971318</v>
      </c>
      <c r="AB8" s="31" t="n">
        <f aca="false">(L8/$AC$5)*'Equipe Técnica'!$C$13</f>
        <v>397.198091557042</v>
      </c>
      <c r="AC8" s="31" t="n">
        <f aca="false">(M8/$AC$5)*'Equipe Técnica'!$C$13</f>
        <v>397.198091557042</v>
      </c>
      <c r="AD8" s="31" t="n">
        <f aca="false">R8+(($V8+$W8+$X8+$Y8)*12/19)+$Z8</f>
        <v>513.590866975301</v>
      </c>
      <c r="AE8" s="31" t="n">
        <f aca="false">S8+(($V8+$W8+$X8+$Y8)*12/19)+$AA8</f>
        <v>602.162532531127</v>
      </c>
      <c r="AF8" s="31" t="n">
        <f aca="false">T8+(($V8+$W8+$X8+$Y8)*12/19)+$AB8</f>
        <v>557.876699753214</v>
      </c>
      <c r="AG8" s="31" t="n">
        <f aca="false">U8+(($V8+$W8+$X8+$Y8)*12/19)+$AC8</f>
        <v>557.876699753214</v>
      </c>
      <c r="AH8" s="149"/>
      <c r="AI8" s="29" t="str">
        <f aca="false">B8</f>
        <v>APS GUARAMIRIM</v>
      </c>
      <c r="AJ8" s="75" t="n">
        <f aca="false">VLOOKUP(AI8,Unidades!D$5:H$24,5,)</f>
        <v>0.2707</v>
      </c>
      <c r="AK8" s="54" t="n">
        <f aca="false">AD8*(1+$AJ8)</f>
        <v>652.619914665515</v>
      </c>
      <c r="AL8" s="54" t="n">
        <f aca="false">AE8*(1+$AJ8)</f>
        <v>765.167930087303</v>
      </c>
      <c r="AM8" s="54" t="n">
        <f aca="false">AF8*(1+$AJ8)</f>
        <v>708.893922376409</v>
      </c>
      <c r="AN8" s="54" t="n">
        <f aca="false">AG8*(1+$AJ8)</f>
        <v>708.893922376409</v>
      </c>
      <c r="AO8" s="54" t="n">
        <f aca="false">((AK8*12)+(AL8*4)+(AM8*2)+AN8)/12</f>
        <v>1084.89937195539</v>
      </c>
      <c r="AP8" s="54" t="n">
        <f aca="false">AO8*$AP$6</f>
        <v>2860.18925333692</v>
      </c>
      <c r="AQ8" s="54" t="n">
        <f aca="false">AO8+AP8</f>
        <v>3945.08862529231</v>
      </c>
      <c r="AR8" s="76"/>
      <c r="AS8" s="77" t="s">
        <v>84</v>
      </c>
      <c r="AT8" s="54" t="n">
        <f aca="false">AT7*12</f>
        <v>97696.5952747298</v>
      </c>
      <c r="AU8" s="54" t="n">
        <f aca="false">AU7*4</f>
        <v>37529.3831348769</v>
      </c>
      <c r="AV8" s="54" t="n">
        <f aca="false">AV7*2</f>
        <v>22042.4189088301</v>
      </c>
      <c r="AW8" s="54" t="n">
        <f aca="false">AW7</f>
        <v>20477.3765784128</v>
      </c>
    </row>
    <row r="9" customFormat="false" ht="15" hidden="false" customHeight="true" outlineLevel="0" collapsed="false">
      <c r="B9" s="70" t="s">
        <v>133</v>
      </c>
      <c r="C9" s="71" t="n">
        <f aca="false">VLOOKUP($B9,Unidades!$D$5:$N$24,6,FALSE())</f>
        <v>1264.6</v>
      </c>
      <c r="D9" s="71" t="n">
        <f aca="false">VLOOKUP($B9,Unidades!$D$5:$N$24,7,FALSE())</f>
        <v>749.6</v>
      </c>
      <c r="E9" s="71" t="n">
        <f aca="false">VLOOKUP($B9,Unidades!$D$5:$N$24,8,FALSE())</f>
        <v>515</v>
      </c>
      <c r="F9" s="71" t="n">
        <f aca="false">VLOOKUP($B9,Unidades!$D$5:$N$24,9,FALSE())</f>
        <v>0</v>
      </c>
      <c r="G9" s="71" t="n">
        <f aca="false">D9+$E$6*E9+$F$6*F9</f>
        <v>929.85</v>
      </c>
      <c r="H9" s="72" t="n">
        <f aca="false">IF(G9&lt;750,1.5,IF(G9&lt;2000,2,IF(G9&lt;4000,3,12)))</f>
        <v>2</v>
      </c>
      <c r="I9" s="72" t="n">
        <f aca="false">$I$6*H9</f>
        <v>2.4</v>
      </c>
      <c r="J9" s="72" t="str">
        <f aca="false">VLOOKUP($B9,Unidades!$D$5:$N$24,10,FALSE())</f>
        <v>SIM</v>
      </c>
      <c r="K9" s="72" t="str">
        <f aca="false">VLOOKUP($B9,Unidades!$D$5:$N$24,11,FALSE())</f>
        <v>SIM</v>
      </c>
      <c r="L9" s="72" t="n">
        <f aca="false">$L$6*H9+(IF(J9="SIM",$J$6,0))</f>
        <v>4.2</v>
      </c>
      <c r="M9" s="72" t="n">
        <f aca="false">$M$6*H9+(IF(J9="SIM",$J$6,0))+(IF(K9="SIM",$K$6,0))</f>
        <v>8.2</v>
      </c>
      <c r="N9" s="72" t="n">
        <f aca="false">H9*12+I9*4+L9*2+M9</f>
        <v>50.2</v>
      </c>
      <c r="O9" s="73" t="n">
        <f aca="false">IF(K9="não", N9*(C$19+D$19),N9*(C$19+D$19)+(M9*+E$19))</f>
        <v>3073.39700836364</v>
      </c>
      <c r="P9" s="74"/>
      <c r="Q9" s="29" t="str">
        <f aca="false">B9</f>
        <v>APS JARAGUÁ DO SUL</v>
      </c>
      <c r="R9" s="31" t="n">
        <f aca="false">H9*($C$19+$D$19)</f>
        <v>109.025538181818</v>
      </c>
      <c r="S9" s="31" t="n">
        <f aca="false">I9*($C$19+$D$19)</f>
        <v>130.830645818182</v>
      </c>
      <c r="T9" s="31" t="n">
        <f aca="false">L9*($C$19+$D$19)</f>
        <v>228.953630181818</v>
      </c>
      <c r="U9" s="31" t="n">
        <f aca="false">IF(K9="não",M9*($C$19+$D$19),M9*(C$19+D$19+E$19))</f>
        <v>783.860706545455</v>
      </c>
      <c r="V9" s="31" t="n">
        <f aca="false">VLOOKUP(Q9,'Desl. Base Joinville'!$C$5:$S$13,13,FALSE())*($C$19+$D$19+$E$19*(VLOOKUP(Q9,'Desl. Base Joinville'!$C$5:$S$13,17,FALSE())/12))</f>
        <v>49.2456870606061</v>
      </c>
      <c r="W9" s="31" t="n">
        <f aca="false">VLOOKUP(Q9,'Desl. Base Joinville'!$C$5:$S$13,15,FALSE())*(2+(VLOOKUP(Q9,'Desl. Base Joinville'!$C$5:$S$13,17,FALSE())/12))</f>
        <v>0</v>
      </c>
      <c r="X9" s="31" t="n">
        <f aca="false">VLOOKUP(Q9,'Desl. Base Joinville'!$C$5:$Q$13,14,FALSE())</f>
        <v>0</v>
      </c>
      <c r="Y9" s="31" t="n">
        <f aca="false">VLOOKUP(Q9,'Desl. Base Joinville'!$C$5:Q$13,13,FALSE())*'Desl. Base Joinville'!$E$18+'Desl. Base Joinville'!$E$19*N9/12</f>
        <v>73.7081666666667</v>
      </c>
      <c r="Z9" s="31" t="n">
        <f aca="false">(H9/$AC$5)*'Equipe Técnica'!$C$13</f>
        <v>481.452232190354</v>
      </c>
      <c r="AA9" s="31" t="n">
        <f aca="false">(I9/$AC$5)*'Equipe Técnica'!$C$13</f>
        <v>577.742678628425</v>
      </c>
      <c r="AB9" s="31" t="n">
        <f aca="false">(L9/$AC$5)*'Equipe Técnica'!$C$13</f>
        <v>1011.04968759974</v>
      </c>
      <c r="AC9" s="31" t="n">
        <f aca="false">(M9/$AC$5)*'Equipe Técnica'!$C$13</f>
        <v>1973.95415198045</v>
      </c>
      <c r="AD9" s="31" t="n">
        <f aca="false">R9+(($V9+$W9+$X9+$Y9)*12/19)+$Z9</f>
        <v>668.132835884134</v>
      </c>
      <c r="AE9" s="31" t="n">
        <f aca="false">S9+(($V9+$W9+$X9+$Y9)*12/19)+$AA9</f>
        <v>786.228389958568</v>
      </c>
      <c r="AF9" s="31" t="n">
        <f aca="false">T9+(($V9+$W9+$X9+$Y9)*12/19)+$AB9</f>
        <v>1317.65838329352</v>
      </c>
      <c r="AG9" s="31" t="n">
        <f aca="false">U9+(($V9+$W9+$X9+$Y9)*12/19)+$AC9</f>
        <v>2835.46992403787</v>
      </c>
      <c r="AH9" s="149"/>
      <c r="AI9" s="29" t="str">
        <f aca="false">B9</f>
        <v>APS JARAGUÁ DO SUL</v>
      </c>
      <c r="AJ9" s="75" t="n">
        <f aca="false">VLOOKUP(AI9,Unidades!D$5:H$24,5,)</f>
        <v>0.2707</v>
      </c>
      <c r="AK9" s="54" t="n">
        <f aca="false">AD9*(1+$AJ9)</f>
        <v>848.996394557969</v>
      </c>
      <c r="AL9" s="54" t="n">
        <f aca="false">AE9*(1+$AJ9)</f>
        <v>999.060415120352</v>
      </c>
      <c r="AM9" s="54" t="n">
        <f aca="false">AF9*(1+$AJ9)</f>
        <v>1674.34850765108</v>
      </c>
      <c r="AN9" s="54" t="n">
        <f aca="false">AG9*(1+$AJ9)</f>
        <v>3603.03163247492</v>
      </c>
      <c r="AO9" s="54" t="n">
        <f aca="false">((AK9*12)+(AL9*4)+(AM9*2)+AN9)/12</f>
        <v>1761.32725357951</v>
      </c>
      <c r="AP9" s="54" t="n">
        <f aca="false">AO9*$AP$6</f>
        <v>4643.49912307325</v>
      </c>
      <c r="AQ9" s="54" t="n">
        <f aca="false">AO9+AP9</f>
        <v>6404.82637665276</v>
      </c>
      <c r="AR9" s="76"/>
      <c r="AS9" s="76"/>
      <c r="AT9" s="78"/>
      <c r="AU9" s="78"/>
      <c r="AV9" s="78"/>
      <c r="AW9" s="78"/>
    </row>
    <row r="10" customFormat="false" ht="15" hidden="false" customHeight="true" outlineLevel="0" collapsed="false">
      <c r="B10" s="70" t="s">
        <v>134</v>
      </c>
      <c r="C10" s="71" t="n">
        <f aca="false">VLOOKUP($B10,Unidades!$D$5:$N$24,6,FALSE())</f>
        <v>1623.5</v>
      </c>
      <c r="D10" s="71" t="n">
        <f aca="false">VLOOKUP($B10,Unidades!$D$5:$N$24,7,FALSE())</f>
        <v>842.5</v>
      </c>
      <c r="E10" s="71" t="n">
        <f aca="false">VLOOKUP($B10,Unidades!$D$5:$N$24,8,FALSE())</f>
        <v>660</v>
      </c>
      <c r="F10" s="71" t="n">
        <f aca="false">VLOOKUP($B10,Unidades!$D$5:$N$24,9,FALSE())</f>
        <v>121</v>
      </c>
      <c r="G10" s="71" t="n">
        <f aca="false">D10+$E$6*E10+$F$6*F10</f>
        <v>1085.6</v>
      </c>
      <c r="H10" s="72" t="n">
        <f aca="false">IF(G10&lt;750,1.5,IF(G10&lt;2000,2,IF(G10&lt;4000,3,12)))</f>
        <v>2</v>
      </c>
      <c r="I10" s="72" t="n">
        <f aca="false">$I$6*H10</f>
        <v>2.4</v>
      </c>
      <c r="J10" s="72" t="str">
        <f aca="false">VLOOKUP($B10,Unidades!$D$5:$N$24,10,FALSE())</f>
        <v>NÃO</v>
      </c>
      <c r="K10" s="72" t="str">
        <f aca="false">VLOOKUP($B10,Unidades!$D$5:$N$24,11,FALSE())</f>
        <v>NÃO</v>
      </c>
      <c r="L10" s="72" t="n">
        <f aca="false">$L$6*H10+(IF(J10="SIM",$J$6,0))</f>
        <v>2.2</v>
      </c>
      <c r="M10" s="72" t="n">
        <f aca="false">$M$6*H10+(IF(J10="SIM",$J$6,0))+(IF(K10="SIM",$K$6,0))</f>
        <v>2.2</v>
      </c>
      <c r="N10" s="72" t="n">
        <f aca="false">H10*12+I10*4+L10*2+M10</f>
        <v>40.2</v>
      </c>
      <c r="O10" s="73" t="n">
        <f aca="false">IF(K10="não", N10*(C$19+D$19),N10*(C$19+D$19)+(M10*+E$19))</f>
        <v>2191.41331745455</v>
      </c>
      <c r="P10" s="74"/>
      <c r="Q10" s="29" t="str">
        <f aca="false">B10</f>
        <v>APS MAFRA</v>
      </c>
      <c r="R10" s="31" t="n">
        <f aca="false">H10*($C$19+$D$19)</f>
        <v>109.025538181818</v>
      </c>
      <c r="S10" s="31" t="n">
        <f aca="false">I10*($C$19+$D$19)</f>
        <v>130.830645818182</v>
      </c>
      <c r="T10" s="31" t="n">
        <f aca="false">L10*($C$19+$D$19)</f>
        <v>119.928092</v>
      </c>
      <c r="U10" s="31" t="n">
        <f aca="false">IF(K10="não",M10*($C$19+$D$19),M10*(C$19+D$19+E$19))</f>
        <v>119.928092</v>
      </c>
      <c r="V10" s="31" t="n">
        <f aca="false">VLOOKUP(Q10,'Desl. Base Joinville'!$C$5:$S$13,13,FALSE())*($C$19+$D$19+$E$19*(VLOOKUP(Q10,'Desl. Base Joinville'!$C$5:$S$13,17,FALSE())/12))</f>
        <v>125.379368909091</v>
      </c>
      <c r="W10" s="31" t="n">
        <f aca="false">VLOOKUP(Q10,'Desl. Base Joinville'!$C$5:$S$13,15,FALSE())*(2+(VLOOKUP(Q10,'Desl. Base Joinville'!$C$5:$S$13,17,FALSE())/12))</f>
        <v>0</v>
      </c>
      <c r="X10" s="31" t="n">
        <f aca="false">VLOOKUP(Q10,'Desl. Base Joinville'!$C$5:$Q$13,14,FALSE())</f>
        <v>0</v>
      </c>
      <c r="Y10" s="31" t="n">
        <f aca="false">VLOOKUP(Q10,'Desl. Base Joinville'!$C$5:Q$13,13,FALSE())*'Desl. Base Joinville'!$E$18+'Desl. Base Joinville'!$E$19*N10/12</f>
        <v>147.165</v>
      </c>
      <c r="Z10" s="31" t="n">
        <f aca="false">(H10/$AC$5)*'Equipe Técnica'!$C$13</f>
        <v>481.452232190354</v>
      </c>
      <c r="AA10" s="31" t="n">
        <f aca="false">(I10/$AC$5)*'Equipe Técnica'!$C$13</f>
        <v>577.742678628425</v>
      </c>
      <c r="AB10" s="31" t="n">
        <f aca="false">(L10/$AC$5)*'Equipe Técnica'!$C$13</f>
        <v>529.597455409389</v>
      </c>
      <c r="AC10" s="31" t="n">
        <f aca="false">(M10/$AC$5)*'Equipe Técnica'!$C$13</f>
        <v>529.597455409389</v>
      </c>
      <c r="AD10" s="31" t="n">
        <f aca="false">R10+(($V10+$W10+$X10+$Y10)*12/19)+$Z10</f>
        <v>762.611055998966</v>
      </c>
      <c r="AE10" s="31" t="n">
        <f aca="false">S10+(($V10+$W10+$X10+$Y10)*12/19)+$AA10</f>
        <v>880.706610073401</v>
      </c>
      <c r="AF10" s="31" t="n">
        <f aca="false">T10+(($V10+$W10+$X10+$Y10)*12/19)+$AB10</f>
        <v>821.658833036184</v>
      </c>
      <c r="AG10" s="31" t="n">
        <f aca="false">U10+(($V10+$W10+$X10+$Y10)*12/19)+$AC10</f>
        <v>821.658833036184</v>
      </c>
      <c r="AH10" s="149"/>
      <c r="AI10" s="29" t="str">
        <f aca="false">B10</f>
        <v>APS MAFRA</v>
      </c>
      <c r="AJ10" s="75" t="n">
        <f aca="false">VLOOKUP(AI10,Unidades!D$5:H$24,5,)</f>
        <v>0.2707</v>
      </c>
      <c r="AK10" s="54" t="n">
        <f aca="false">AD10*(1+$AJ10)</f>
        <v>969.049868857886</v>
      </c>
      <c r="AL10" s="54" t="n">
        <f aca="false">AE10*(1+$AJ10)</f>
        <v>1119.11388942027</v>
      </c>
      <c r="AM10" s="54" t="n">
        <f aca="false">AF10*(1+$AJ10)</f>
        <v>1044.08187913908</v>
      </c>
      <c r="AN10" s="54" t="n">
        <f aca="false">AG10*(1+$AJ10)</f>
        <v>1044.08187913908</v>
      </c>
      <c r="AO10" s="54" t="n">
        <f aca="false">((AK10*12)+(AL10*4)+(AM10*2)+AN10)/12</f>
        <v>1603.10830178275</v>
      </c>
      <c r="AP10" s="54" t="n">
        <f aca="false">AO10*$AP$6</f>
        <v>4226.37643197269</v>
      </c>
      <c r="AQ10" s="54" t="n">
        <f aca="false">AO10+AP10</f>
        <v>5829.48473375544</v>
      </c>
      <c r="AR10" s="76"/>
      <c r="AS10" s="79" t="s">
        <v>72</v>
      </c>
      <c r="AT10" s="54" t="n">
        <f aca="false">(SUM(AT8:AW8))/12</f>
        <v>14812.1478247375</v>
      </c>
      <c r="AU10" s="54"/>
      <c r="AV10" s="78"/>
      <c r="AW10" s="78"/>
    </row>
    <row r="11" customFormat="false" ht="15" hidden="false" customHeight="true" outlineLevel="0" collapsed="false">
      <c r="B11" s="70" t="s">
        <v>135</v>
      </c>
      <c r="C11" s="71" t="n">
        <f aca="false">VLOOKUP($B11,Unidades!$D$5:$N$24,6,FALSE())</f>
        <v>334.4</v>
      </c>
      <c r="D11" s="71" t="n">
        <f aca="false">VLOOKUP($B11,Unidades!$D$5:$N$24,7,FALSE())</f>
        <v>296</v>
      </c>
      <c r="E11" s="71" t="n">
        <f aca="false">VLOOKUP($B11,Unidades!$D$5:$N$24,8,FALSE())</f>
        <v>38.4</v>
      </c>
      <c r="F11" s="71" t="n">
        <f aca="false">VLOOKUP($B11,Unidades!$D$5:$N$24,9,FALSE())</f>
        <v>0</v>
      </c>
      <c r="G11" s="71" t="n">
        <f aca="false">D11+$E$6*E11+$F$6*F11</f>
        <v>309.44</v>
      </c>
      <c r="H11" s="72" t="n">
        <f aca="false">IF(G11&lt;750,1.5,IF(G11&lt;2000,2,IF(G11&lt;4000,3,12)))</f>
        <v>1.5</v>
      </c>
      <c r="I11" s="72" t="n">
        <f aca="false">$I$6*H11</f>
        <v>1.8</v>
      </c>
      <c r="J11" s="72" t="str">
        <f aca="false">VLOOKUP($B11,Unidades!$D$5:$N$24,10,FALSE())</f>
        <v>NÃO</v>
      </c>
      <c r="K11" s="72" t="str">
        <f aca="false">VLOOKUP($B11,Unidades!$D$5:$N$24,11,FALSE())</f>
        <v>NÃO</v>
      </c>
      <c r="L11" s="72" t="n">
        <f aca="false">$L$6*H11+(IF(J11="SIM",$J$6,0))</f>
        <v>1.65</v>
      </c>
      <c r="M11" s="72" t="n">
        <f aca="false">$M$6*H11+(IF(J11="SIM",$J$6,0))+(IF(K11="SIM",$K$6,0))</f>
        <v>1.65</v>
      </c>
      <c r="N11" s="72" t="n">
        <f aca="false">H11*12+I11*4+L11*2+M11</f>
        <v>30.15</v>
      </c>
      <c r="O11" s="73" t="n">
        <f aca="false">IF(K11="não", N11*(C$19+D$19),N11*(C$19+D$19)+(M11*+E$19))</f>
        <v>1643.55998809091</v>
      </c>
      <c r="P11" s="74"/>
      <c r="Q11" s="29" t="str">
        <f aca="false">B11</f>
        <v>APS RIO NEGRO</v>
      </c>
      <c r="R11" s="31" t="n">
        <f aca="false">H11*($C$19+$D$19)</f>
        <v>81.7691536363636</v>
      </c>
      <c r="S11" s="31" t="n">
        <f aca="false">I11*($C$19+$D$19)</f>
        <v>98.1229843636364</v>
      </c>
      <c r="T11" s="31" t="n">
        <f aca="false">L11*($C$19+$D$19)</f>
        <v>89.946069</v>
      </c>
      <c r="U11" s="31" t="n">
        <f aca="false">IF(K11="não",M11*($C$19+$D$19),M11*(C$19+D$19+E$19))</f>
        <v>89.946069</v>
      </c>
      <c r="V11" s="31" t="n">
        <f aca="false">VLOOKUP(Q11,'Desl. Base Joinville'!$C$5:$S$13,13,FALSE())*($C$19+$D$19+$E$19*(VLOOKUP(Q11,'Desl. Base Joinville'!$C$5:$S$13,17,FALSE())/12))</f>
        <v>125.379368909091</v>
      </c>
      <c r="W11" s="31" t="n">
        <f aca="false">VLOOKUP(Q11,'Desl. Base Joinville'!$C$5:$S$13,15,FALSE())*(2+(VLOOKUP(Q11,'Desl. Base Joinville'!$C$5:$S$13,17,FALSE())/12))</f>
        <v>0</v>
      </c>
      <c r="X11" s="31" t="n">
        <f aca="false">VLOOKUP(Q11,'Desl. Base Joinville'!$C$5:$Q$13,14,FALSE())</f>
        <v>0</v>
      </c>
      <c r="Y11" s="31" t="n">
        <f aca="false">VLOOKUP(Q11,'Desl. Base Joinville'!$C$5:Q$13,13,FALSE())*'Desl. Base Joinville'!$E$18+'Desl. Base Joinville'!$E$19*N11/12</f>
        <v>141.671</v>
      </c>
      <c r="Z11" s="31" t="n">
        <f aca="false">(H11/$AC$5)*'Equipe Técnica'!$C$13</f>
        <v>361.089174142765</v>
      </c>
      <c r="AA11" s="31" t="n">
        <f aca="false">(I11/$AC$5)*'Equipe Técnica'!$C$13</f>
        <v>433.307008971318</v>
      </c>
      <c r="AB11" s="31" t="n">
        <f aca="false">(L11/$AC$5)*'Equipe Técnica'!$C$13</f>
        <v>397.198091557042</v>
      </c>
      <c r="AC11" s="31" t="n">
        <f aca="false">(M11/$AC$5)*'Equipe Técnica'!$C$13</f>
        <v>397.198091557042</v>
      </c>
      <c r="AD11" s="31" t="n">
        <f aca="false">R11+(($V11+$W11+$X11+$Y11)*12/19)+$Z11</f>
        <v>611.521718669081</v>
      </c>
      <c r="AE11" s="31" t="n">
        <f aca="false">S11+(($V11+$W11+$X11+$Y11)*12/19)+$AA11</f>
        <v>700.093384224907</v>
      </c>
      <c r="AF11" s="31" t="n">
        <f aca="false">T11+(($V11+$W11+$X11+$Y11)*12/19)+$AB11</f>
        <v>655.807551446994</v>
      </c>
      <c r="AG11" s="31" t="n">
        <f aca="false">U11+(($V11+$W11+$X11+$Y11)*12/19)+$AC11</f>
        <v>655.807551446994</v>
      </c>
      <c r="AH11" s="149"/>
      <c r="AI11" s="29" t="str">
        <f aca="false">B11</f>
        <v>APS RIO NEGRO</v>
      </c>
      <c r="AJ11" s="75" t="n">
        <f aca="false">VLOOKUP(AI11,Unidades!D$5:H$24,5,)</f>
        <v>0.2707</v>
      </c>
      <c r="AK11" s="54" t="n">
        <f aca="false">AD11*(1+$AJ11)</f>
        <v>777.060647912801</v>
      </c>
      <c r="AL11" s="54" t="n">
        <f aca="false">AE11*(1+$AJ11)</f>
        <v>889.608663334589</v>
      </c>
      <c r="AM11" s="54" t="n">
        <f aca="false">AF11*(1+$AJ11)</f>
        <v>833.334655623695</v>
      </c>
      <c r="AN11" s="54" t="n">
        <f aca="false">AG11*(1+$AJ11)</f>
        <v>833.334655623695</v>
      </c>
      <c r="AO11" s="54" t="n">
        <f aca="false">((AK11*12)+(AL11*4)+(AM11*2)+AN11)/12</f>
        <v>1281.93053293026</v>
      </c>
      <c r="AP11" s="54" t="n">
        <f aca="false">AO11*$AP$6</f>
        <v>3379.63504136158</v>
      </c>
      <c r="AQ11" s="54" t="n">
        <f aca="false">AO11+AP11</f>
        <v>4661.56557429184</v>
      </c>
      <c r="AR11" s="76"/>
      <c r="AS11" s="79" t="s">
        <v>88</v>
      </c>
      <c r="AT11" s="54" t="n">
        <f aca="false">AT10*12</f>
        <v>177745.77389685</v>
      </c>
      <c r="AU11" s="54"/>
      <c r="AV11" s="78"/>
      <c r="AW11" s="78"/>
    </row>
    <row r="12" customFormat="false" ht="15" hidden="false" customHeight="true" outlineLevel="0" collapsed="false">
      <c r="B12" s="70" t="s">
        <v>136</v>
      </c>
      <c r="C12" s="71" t="n">
        <f aca="false">VLOOKUP($B12,Unidades!$D$5:$N$24,6,FALSE())</f>
        <v>780.2</v>
      </c>
      <c r="D12" s="71" t="n">
        <f aca="false">VLOOKUP($B12,Unidades!$D$5:$N$24,7,FALSE())</f>
        <v>578.2</v>
      </c>
      <c r="E12" s="71" t="n">
        <f aca="false">VLOOKUP($B12,Unidades!$D$5:$N$24,8,FALSE())</f>
        <v>155</v>
      </c>
      <c r="F12" s="71" t="n">
        <f aca="false">VLOOKUP($B12,Unidades!$D$5:$N$24,9,FALSE())</f>
        <v>47</v>
      </c>
      <c r="G12" s="71" t="n">
        <f aca="false">D12+$E$6*E12+$F$6*F12</f>
        <v>637.15</v>
      </c>
      <c r="H12" s="72" t="n">
        <f aca="false">IF(G12&lt;750,1.5,IF(G12&lt;2000,2,IF(G12&lt;4000,3,12)))</f>
        <v>1.5</v>
      </c>
      <c r="I12" s="72" t="n">
        <f aca="false">$I$6*H12</f>
        <v>1.8</v>
      </c>
      <c r="J12" s="72" t="str">
        <f aca="false">VLOOKUP($B12,Unidades!$D$5:$N$24,10,FALSE())</f>
        <v>NÃO</v>
      </c>
      <c r="K12" s="72" t="str">
        <f aca="false">VLOOKUP($B12,Unidades!$D$5:$N$24,11,FALSE())</f>
        <v>SIM</v>
      </c>
      <c r="L12" s="72" t="n">
        <f aca="false">$L$6*H12+(IF(J12="SIM",$J$6,0))</f>
        <v>1.65</v>
      </c>
      <c r="M12" s="72" t="n">
        <f aca="false">$M$6*H12+(IF(J12="SIM",$J$6,0))+(IF(K12="SIM",$K$6,0))</f>
        <v>5.65</v>
      </c>
      <c r="N12" s="72" t="n">
        <f aca="false">H12*12+I12*4+L12*2+M12</f>
        <v>34.15</v>
      </c>
      <c r="O12" s="73" t="n">
        <f aca="false">IF(K12="não", N12*(C$19+D$19),N12*(C$19+D$19)+(M12*+E$19))</f>
        <v>2093.71306445455</v>
      </c>
      <c r="P12" s="74"/>
      <c r="Q12" s="29" t="str">
        <f aca="false">B12</f>
        <v>APS SÃO BENTO DO SUL</v>
      </c>
      <c r="R12" s="31" t="n">
        <f aca="false">H12*($C$19+$D$19)</f>
        <v>81.7691536363636</v>
      </c>
      <c r="S12" s="31" t="n">
        <f aca="false">I12*($C$19+$D$19)</f>
        <v>98.1229843636364</v>
      </c>
      <c r="T12" s="31" t="n">
        <f aca="false">L12*($C$19+$D$19)</f>
        <v>89.946069</v>
      </c>
      <c r="U12" s="31" t="n">
        <f aca="false">IF(K12="não",M12*($C$19+$D$19),M12*(C$19+D$19+E$19))</f>
        <v>540.099145363636</v>
      </c>
      <c r="V12" s="31" t="n">
        <f aca="false">VLOOKUP(Q12,'Desl. Base Joinville'!$C$5:$S$13,13,FALSE())*($C$19+$D$19+$E$19*(VLOOKUP(Q12,'Desl. Base Joinville'!$C$5:$S$13,17,FALSE())/12))</f>
        <v>180.084718368687</v>
      </c>
      <c r="W12" s="31" t="n">
        <f aca="false">VLOOKUP(Q12,'Desl. Base Joinville'!$C$5:$S$13,15,FALSE())*(2+(VLOOKUP(Q12,'Desl. Base Joinville'!$C$5:$S$13,17,FALSE())/12))</f>
        <v>290.416666666667</v>
      </c>
      <c r="X12" s="31" t="n">
        <f aca="false">VLOOKUP(Q12,'Desl. Base Joinville'!$C$5:$Q$13,14,FALSE())</f>
        <v>0</v>
      </c>
      <c r="Y12" s="31" t="n">
        <f aca="false">VLOOKUP(Q12,'Desl. Base Joinville'!$C$5:Q$13,13,FALSE())*'Desl. Base Joinville'!$E$18+'Desl. Base Joinville'!$E$19*N12/12</f>
        <v>187.85525</v>
      </c>
      <c r="Z12" s="31" t="n">
        <f aca="false">(H12/$AC$5)*'Equipe Técnica'!$C$13</f>
        <v>361.089174142765</v>
      </c>
      <c r="AA12" s="31" t="n">
        <f aca="false">(I12/$AC$5)*'Equipe Técnica'!$C$13</f>
        <v>433.307008971318</v>
      </c>
      <c r="AB12" s="31" t="n">
        <f aca="false">(L12/$AC$5)*'Equipe Técnica'!$C$13</f>
        <v>397.198091557042</v>
      </c>
      <c r="AC12" s="31" t="n">
        <f aca="false">(M12/$AC$5)*'Equipe Técnica'!$C$13</f>
        <v>1360.10255593775</v>
      </c>
      <c r="AD12" s="31" t="n">
        <f aca="false">R12+(($V12+$W12+$X12+$Y12)*12/19)+$Z12</f>
        <v>858.662518327773</v>
      </c>
      <c r="AE12" s="31" t="n">
        <f aca="false">S12+(($V12+$W12+$X12+$Y12)*12/19)+$AA12</f>
        <v>947.234183883599</v>
      </c>
      <c r="AF12" s="31" t="n">
        <f aca="false">T12+(($V12+$W12+$X12+$Y12)*12/19)+$AB12</f>
        <v>902.948351105686</v>
      </c>
      <c r="AG12" s="31" t="n">
        <f aca="false">U12+(($V12+$W12+$X12+$Y12)*12/19)+$AC12</f>
        <v>2316.00589185003</v>
      </c>
      <c r="AH12" s="149"/>
      <c r="AI12" s="29" t="str">
        <f aca="false">B12</f>
        <v>APS SÃO BENTO DO SUL</v>
      </c>
      <c r="AJ12" s="75" t="n">
        <f aca="false">VLOOKUP(AI12,Unidades!D$5:H$24,5,)</f>
        <v>0.2707</v>
      </c>
      <c r="AK12" s="54" t="n">
        <f aca="false">AD12*(1+$AJ12)</f>
        <v>1091.1024620391</v>
      </c>
      <c r="AL12" s="54" t="n">
        <f aca="false">AE12*(1+$AJ12)</f>
        <v>1203.65047746089</v>
      </c>
      <c r="AM12" s="54" t="n">
        <f aca="false">AF12*(1+$AJ12)</f>
        <v>1147.37646975</v>
      </c>
      <c r="AN12" s="54" t="n">
        <f aca="false">AG12*(1+$AJ12)</f>
        <v>2942.94868677383</v>
      </c>
      <c r="AO12" s="54" t="n">
        <f aca="false">((AK12*12)+(AL12*4)+(AM12*2)+AN12)/12</f>
        <v>1928.79442338222</v>
      </c>
      <c r="AP12" s="54" t="n">
        <f aca="false">AO12*$AP$6</f>
        <v>5085.00347982584</v>
      </c>
      <c r="AQ12" s="54" t="n">
        <f aca="false">AO12+AP12</f>
        <v>7013.79790320806</v>
      </c>
      <c r="AR12" s="76"/>
      <c r="AS12" s="79" t="s">
        <v>73</v>
      </c>
      <c r="AT12" s="54" t="n">
        <f aca="false">AP16</f>
        <v>39050.2079015806</v>
      </c>
      <c r="AU12" s="54"/>
      <c r="AV12" s="76"/>
      <c r="AW12" s="76"/>
    </row>
    <row r="13" customFormat="false" ht="15" hidden="false" customHeight="true" outlineLevel="0" collapsed="false">
      <c r="B13" s="70" t="s">
        <v>137</v>
      </c>
      <c r="C13" s="71" t="n">
        <f aca="false">VLOOKUP($B13,Unidades!$D$5:$N$24,6,FALSE())</f>
        <v>389.8</v>
      </c>
      <c r="D13" s="71" t="n">
        <f aca="false">VLOOKUP($B13,Unidades!$D$5:$N$24,7,FALSE())</f>
        <v>349.8</v>
      </c>
      <c r="E13" s="71" t="n">
        <f aca="false">VLOOKUP($B13,Unidades!$D$5:$N$24,8,FALSE())</f>
        <v>40</v>
      </c>
      <c r="F13" s="71" t="n">
        <f aca="false">VLOOKUP($B13,Unidades!$D$5:$N$24,9,FALSE())</f>
        <v>0</v>
      </c>
      <c r="G13" s="71" t="n">
        <f aca="false">D13+$E$6*E13+$F$6*F13</f>
        <v>363.8</v>
      </c>
      <c r="H13" s="72" t="n">
        <f aca="false">IF(G13&lt;750,1.5,IF(G13&lt;2000,2,IF(G13&lt;4000,3,12)))</f>
        <v>1.5</v>
      </c>
      <c r="I13" s="72" t="n">
        <f aca="false">$I$6*H13</f>
        <v>1.8</v>
      </c>
      <c r="J13" s="72" t="str">
        <f aca="false">VLOOKUP($B13,Unidades!$D$5:$N$24,10,FALSE())</f>
        <v>NÃO</v>
      </c>
      <c r="K13" s="72" t="str">
        <f aca="false">VLOOKUP($B13,Unidades!$D$5:$N$24,11,FALSE())</f>
        <v>NÃO</v>
      </c>
      <c r="L13" s="72" t="n">
        <f aca="false">$L$6*H13+(IF(J13="SIM",$J$6,0))</f>
        <v>1.65</v>
      </c>
      <c r="M13" s="72" t="n">
        <f aca="false">$M$6*H13+(IF(J13="SIM",$J$6,0))+(IF(K13="SIM",$K$6,0))</f>
        <v>1.65</v>
      </c>
      <c r="N13" s="72" t="n">
        <f aca="false">H13*12+I13*4+L13*2+M13</f>
        <v>30.15</v>
      </c>
      <c r="O13" s="73" t="n">
        <f aca="false">IF(K13="não", N13*(C$19+D$19),N13*(C$19+D$19)+(M13*+E$19))</f>
        <v>1643.55998809091</v>
      </c>
      <c r="P13" s="74"/>
      <c r="Q13" s="29" t="str">
        <f aca="false">B13</f>
        <v>APS SÃO FRANCISCO DO SUL</v>
      </c>
      <c r="R13" s="31" t="n">
        <f aca="false">H13*($C$19+$D$19)</f>
        <v>81.7691536363636</v>
      </c>
      <c r="S13" s="31" t="n">
        <f aca="false">I13*($C$19+$D$19)</f>
        <v>98.1229843636364</v>
      </c>
      <c r="T13" s="31" t="n">
        <f aca="false">L13*($C$19+$D$19)</f>
        <v>89.946069</v>
      </c>
      <c r="U13" s="31" t="n">
        <f aca="false">IF(K13="não",M13*($C$19+$D$19),M13*(C$19+D$19+E$19))</f>
        <v>89.946069</v>
      </c>
      <c r="V13" s="31" t="n">
        <f aca="false">VLOOKUP(Q13,'Desl. Base Joinville'!$C$5:$S$13,13,FALSE())*($C$19+$D$19+$E$19*(VLOOKUP(Q13,'Desl. Base Joinville'!$C$5:$S$13,17,FALSE())/12))</f>
        <v>103.574261272727</v>
      </c>
      <c r="W13" s="31" t="n">
        <f aca="false">VLOOKUP(Q13,'Desl. Base Joinville'!$C$5:$S$13,15,FALSE())*(2+(VLOOKUP(Q13,'Desl. Base Joinville'!$C$5:$S$13,17,FALSE())/12))</f>
        <v>0</v>
      </c>
      <c r="X13" s="31" t="n">
        <f aca="false">VLOOKUP(Q13,'Desl. Base Joinville'!$C$5:$Q$13,14,FALSE())</f>
        <v>0</v>
      </c>
      <c r="Y13" s="31" t="n">
        <f aca="false">VLOOKUP(Q13,'Desl. Base Joinville'!$C$5:Q$13,13,FALSE())*'Desl. Base Joinville'!$E$18+'Desl. Base Joinville'!$E$19*N13/12</f>
        <v>119.899</v>
      </c>
      <c r="Z13" s="31" t="n">
        <f aca="false">(H13/$AC$5)*'Equipe Técnica'!$C$13</f>
        <v>361.089174142765</v>
      </c>
      <c r="AA13" s="31" t="n">
        <f aca="false">(I13/$AC$5)*'Equipe Técnica'!$C$13</f>
        <v>433.307008971318</v>
      </c>
      <c r="AB13" s="31" t="n">
        <f aca="false">(L13/$AC$5)*'Equipe Técnica'!$C$13</f>
        <v>397.198091557042</v>
      </c>
      <c r="AC13" s="31" t="n">
        <f aca="false">(M13/$AC$5)*'Equipe Técnica'!$C$13</f>
        <v>397.198091557042</v>
      </c>
      <c r="AD13" s="31" t="n">
        <f aca="false">R13+(($V13+$W13+$X13+$Y13)*12/19)+$Z13</f>
        <v>583.999334898746</v>
      </c>
      <c r="AE13" s="31" t="n">
        <f aca="false">S13+(($V13+$W13+$X13+$Y13)*12/19)+$AA13</f>
        <v>672.571000454572</v>
      </c>
      <c r="AF13" s="31" t="n">
        <f aca="false">T13+(($V13+$W13+$X13+$Y13)*12/19)+$AB13</f>
        <v>628.285167676659</v>
      </c>
      <c r="AG13" s="31" t="n">
        <f aca="false">U13+(($V13+$W13+$X13+$Y13)*12/19)+$AC13</f>
        <v>628.285167676659</v>
      </c>
      <c r="AH13" s="149"/>
      <c r="AI13" s="29" t="str">
        <f aca="false">B13</f>
        <v>APS SÃO FRANCISCO DO SUL</v>
      </c>
      <c r="AJ13" s="75" t="n">
        <f aca="false">VLOOKUP(AI13,Unidades!D$5:H$24,5,)</f>
        <v>0.2849</v>
      </c>
      <c r="AK13" s="54" t="n">
        <f aca="false">AD13*(1+$AJ13)</f>
        <v>750.380745411399</v>
      </c>
      <c r="AL13" s="54" t="n">
        <f aca="false">AE13*(1+$AJ13)</f>
        <v>864.186478484079</v>
      </c>
      <c r="AM13" s="54" t="n">
        <f aca="false">AF13*(1+$AJ13)</f>
        <v>807.283611947739</v>
      </c>
      <c r="AN13" s="54" t="n">
        <f aca="false">AG13*(1+$AJ13)</f>
        <v>807.283611947739</v>
      </c>
      <c r="AO13" s="54" t="n">
        <f aca="false">((AK13*12)+(AL13*4)+(AM13*2)+AN13)/12</f>
        <v>1240.26380789303</v>
      </c>
      <c r="AP13" s="54" t="n">
        <f aca="false">AO13*$AP$6</f>
        <v>3269.78640262707</v>
      </c>
      <c r="AQ13" s="54" t="n">
        <f aca="false">AO13+AP13</f>
        <v>4510.0502105201</v>
      </c>
      <c r="AR13" s="76"/>
      <c r="AS13" s="79" t="s">
        <v>91</v>
      </c>
      <c r="AT13" s="54" t="n">
        <f aca="false">AT12*12</f>
        <v>468602.494818967</v>
      </c>
      <c r="AU13" s="54"/>
      <c r="AV13" s="78"/>
      <c r="AW13" s="78"/>
    </row>
    <row r="14" customFormat="false" ht="15" hidden="false" customHeight="true" outlineLevel="0" collapsed="false">
      <c r="B14" s="70" t="s">
        <v>138</v>
      </c>
      <c r="C14" s="71" t="n">
        <f aca="false">VLOOKUP($B14,Unidades!$D$5:$N$24,6,FALSE())</f>
        <v>3091</v>
      </c>
      <c r="D14" s="71" t="n">
        <f aca="false">VLOOKUP($B14,Unidades!$D$5:$N$24,7,FALSE())</f>
        <v>2231.68</v>
      </c>
      <c r="E14" s="71" t="n">
        <f aca="false">VLOOKUP($B14,Unidades!$D$5:$N$24,8,FALSE())</f>
        <v>859.32</v>
      </c>
      <c r="F14" s="71" t="n">
        <f aca="false">VLOOKUP($B14,Unidades!$D$5:$N$24,9,FALSE())</f>
        <v>0</v>
      </c>
      <c r="G14" s="71" t="n">
        <f aca="false">D14+$E$6*E14+$F$6*F14</f>
        <v>2532.442</v>
      </c>
      <c r="H14" s="72" t="n">
        <f aca="false">IF(G14&lt;750,1.5,IF(G14&lt;2000,2,IF(G14&lt;4000,3,12)))</f>
        <v>3</v>
      </c>
      <c r="I14" s="72" t="n">
        <f aca="false">$I$6*H14</f>
        <v>3.6</v>
      </c>
      <c r="J14" s="72" t="str">
        <f aca="false">VLOOKUP($B14,Unidades!$D$5:$N$24,10,FALSE())</f>
        <v>NÃO</v>
      </c>
      <c r="K14" s="72" t="str">
        <f aca="false">VLOOKUP($B14,Unidades!$D$5:$N$24,11,FALSE())</f>
        <v>SIM</v>
      </c>
      <c r="L14" s="72" t="n">
        <f aca="false">$L$6*H14+(IF(J14="SIM",$J$6,0))</f>
        <v>3.3</v>
      </c>
      <c r="M14" s="72" t="n">
        <f aca="false">$M$6*H14+(IF(J14="SIM",$J$6,0))+(IF(K14="SIM",$K$6,0))</f>
        <v>7.3</v>
      </c>
      <c r="N14" s="72" t="n">
        <f aca="false">H14*12+I14*4+L14*2+M14</f>
        <v>64.3</v>
      </c>
      <c r="O14" s="73" t="n">
        <f aca="false">IF(K14="não", N14*(C$19+D$19),N14*(C$19+D$19)+(M14*+E$19))</f>
        <v>3805.05505254545</v>
      </c>
      <c r="P14" s="74"/>
      <c r="Q14" s="29" t="str">
        <f aca="false">B14</f>
        <v>GEX/APS JOINVILLE</v>
      </c>
      <c r="R14" s="31" t="n">
        <f aca="false">H14*($C$19+$D$19)</f>
        <v>163.538307272727</v>
      </c>
      <c r="S14" s="31" t="n">
        <f aca="false">I14*($C$19+$D$19)</f>
        <v>196.245968727273</v>
      </c>
      <c r="T14" s="31" t="n">
        <f aca="false">L14*($C$19+$D$19)</f>
        <v>179.892138</v>
      </c>
      <c r="U14" s="31" t="n">
        <f aca="false">IF(K14="não",M14*($C$19+$D$19),M14*(C$19+D$19+E$19))</f>
        <v>697.827214363636</v>
      </c>
      <c r="V14" s="31" t="n">
        <f aca="false">VLOOKUP(Q14,'Desl. Base Joinville'!$C$5:$S$13,13,FALSE())*($C$19+$D$19+$E$19*(VLOOKUP(Q14,'Desl. Base Joinville'!$C$5:$S$13,17,FALSE())/12))</f>
        <v>5.79361024242424</v>
      </c>
      <c r="W14" s="31" t="n">
        <f aca="false">VLOOKUP(Q14,'Desl. Base Joinville'!$C$5:$S$13,15,FALSE())*(2+(VLOOKUP(Q14,'Desl. Base Joinville'!$C$5:$S$13,17,FALSE())/12))</f>
        <v>0</v>
      </c>
      <c r="X14" s="31" t="n">
        <f aca="false">VLOOKUP(Q14,'Desl. Base Joinville'!$C$5:$Q$13,14,FALSE())</f>
        <v>0</v>
      </c>
      <c r="Y14" s="31" t="n">
        <f aca="false">VLOOKUP(Q14,'Desl. Base Joinville'!$C$5:Q$13,13,FALSE())*'Desl. Base Joinville'!$E$18+'Desl. Base Joinville'!$E$19*N14/12</f>
        <v>40.5936666666667</v>
      </c>
      <c r="Z14" s="31" t="n">
        <f aca="false">(H14/$AC$5)*'Equipe Técnica'!$C$13</f>
        <v>722.178348285531</v>
      </c>
      <c r="AA14" s="31" t="n">
        <f aca="false">(I14/$AC$5)*'Equipe Técnica'!$C$13</f>
        <v>866.614017942637</v>
      </c>
      <c r="AB14" s="31" t="n">
        <f aca="false">(L14/$AC$5)*'Equipe Técnica'!$C$13</f>
        <v>794.396183114084</v>
      </c>
      <c r="AC14" s="31" t="n">
        <f aca="false">(M14/$AC$5)*'Equipe Técnica'!$C$13</f>
        <v>1757.30064749479</v>
      </c>
      <c r="AD14" s="31" t="n">
        <f aca="false">R14+(($V14+$W14+$X14+$Y14)*12/19)+$Z14</f>
        <v>915.013883079789</v>
      </c>
      <c r="AE14" s="31" t="n">
        <f aca="false">S14+(($V14+$W14+$X14+$Y14)*12/19)+$AA14</f>
        <v>1092.15721419144</v>
      </c>
      <c r="AF14" s="31" t="n">
        <f aca="false">T14+(($V14+$W14+$X14+$Y14)*12/19)+$AB14</f>
        <v>1003.58554863561</v>
      </c>
      <c r="AG14" s="31" t="n">
        <f aca="false">U14+(($V14+$W14+$X14+$Y14)*12/19)+$AC14</f>
        <v>2484.42508937996</v>
      </c>
      <c r="AH14" s="149"/>
      <c r="AI14" s="29" t="str">
        <f aca="false">B14</f>
        <v>GEX/APS JOINVILLE</v>
      </c>
      <c r="AJ14" s="75" t="n">
        <f aca="false">VLOOKUP(AI14,Unidades!D$5:H$24,5,)</f>
        <v>0.2707</v>
      </c>
      <c r="AK14" s="54" t="n">
        <f aca="false">AD14*(1+$AJ14)</f>
        <v>1162.70814122949</v>
      </c>
      <c r="AL14" s="54" t="n">
        <f aca="false">AE14*(1+$AJ14)</f>
        <v>1387.80417207306</v>
      </c>
      <c r="AM14" s="54" t="n">
        <f aca="false">AF14*(1+$AJ14)</f>
        <v>1275.25615665128</v>
      </c>
      <c r="AN14" s="54" t="n">
        <f aca="false">AG14*(1+$AJ14)</f>
        <v>3156.95896107511</v>
      </c>
      <c r="AO14" s="54" t="n">
        <f aca="false">((AK14*12)+(AL14*4)+(AM14*2)+AN14)/12</f>
        <v>2100.93213811865</v>
      </c>
      <c r="AP14" s="54" t="n">
        <f aca="false">AO14*$AP$6</f>
        <v>5538.82109140371</v>
      </c>
      <c r="AQ14" s="54" t="n">
        <f aca="false">AO14+AP14</f>
        <v>7639.75322952236</v>
      </c>
      <c r="AR14" s="76"/>
      <c r="AS14" s="79" t="s">
        <v>93</v>
      </c>
      <c r="AT14" s="54" t="n">
        <f aca="false">AT10+AT12</f>
        <v>53862.3557263181</v>
      </c>
      <c r="AU14" s="54"/>
      <c r="AV14" s="78"/>
      <c r="AW14" s="78"/>
      <c r="IW14" s="150"/>
      <c r="IX14" s="150"/>
      <c r="IY14" s="150"/>
      <c r="IZ14" s="150"/>
      <c r="JA14" s="150"/>
      <c r="JB14" s="150"/>
      <c r="JC14" s="150"/>
      <c r="JD14" s="150"/>
      <c r="JE14" s="150"/>
      <c r="JF14" s="150"/>
      <c r="JG14" s="150"/>
      <c r="JH14" s="150"/>
      <c r="JI14" s="150"/>
      <c r="JJ14" s="150"/>
      <c r="JK14" s="150"/>
      <c r="JL14" s="150"/>
      <c r="JM14" s="150"/>
      <c r="JN14" s="150"/>
      <c r="JO14" s="150"/>
      <c r="JP14" s="150"/>
      <c r="JQ14" s="150"/>
      <c r="JR14" s="150"/>
      <c r="JS14" s="150"/>
      <c r="JT14" s="150"/>
      <c r="JU14" s="150"/>
      <c r="JV14" s="150"/>
      <c r="JW14" s="150"/>
      <c r="JX14" s="150"/>
      <c r="JY14" s="150"/>
      <c r="JZ14" s="150"/>
      <c r="KA14" s="150"/>
      <c r="KB14" s="150"/>
      <c r="KC14" s="150"/>
      <c r="KD14" s="150"/>
      <c r="KE14" s="150"/>
      <c r="KF14" s="150"/>
      <c r="KG14" s="150"/>
      <c r="KH14" s="150"/>
      <c r="KI14" s="150"/>
      <c r="KJ14" s="150"/>
      <c r="KK14" s="150"/>
      <c r="KL14" s="150"/>
      <c r="KM14" s="150"/>
      <c r="KN14" s="150"/>
      <c r="KO14" s="150"/>
      <c r="KP14" s="150"/>
      <c r="KQ14" s="150"/>
      <c r="KR14" s="150"/>
      <c r="KS14" s="150"/>
      <c r="KT14" s="150"/>
      <c r="KU14" s="150"/>
      <c r="KV14" s="150"/>
      <c r="KW14" s="150"/>
      <c r="KX14" s="150"/>
      <c r="KY14" s="150"/>
      <c r="KZ14" s="150"/>
      <c r="LA14" s="150"/>
      <c r="LB14" s="150"/>
      <c r="LC14" s="150"/>
      <c r="LD14" s="150"/>
      <c r="LE14" s="150"/>
      <c r="LF14" s="150"/>
      <c r="LG14" s="150"/>
      <c r="LH14" s="150"/>
      <c r="LI14" s="150"/>
      <c r="LJ14" s="150"/>
      <c r="LK14" s="150"/>
      <c r="LL14" s="150"/>
      <c r="LM14" s="150"/>
      <c r="LN14" s="150"/>
      <c r="LO14" s="150"/>
      <c r="LP14" s="150"/>
      <c r="LQ14" s="150"/>
      <c r="LR14" s="150"/>
      <c r="LS14" s="150"/>
      <c r="LT14" s="150"/>
      <c r="LU14" s="150"/>
      <c r="LV14" s="150"/>
      <c r="LW14" s="150"/>
      <c r="LX14" s="150"/>
      <c r="LY14" s="150"/>
      <c r="LZ14" s="150"/>
      <c r="MA14" s="150"/>
      <c r="MB14" s="150"/>
      <c r="MC14" s="150"/>
      <c r="MD14" s="150"/>
      <c r="ME14" s="150"/>
      <c r="MF14" s="150"/>
      <c r="MG14" s="150"/>
      <c r="MH14" s="150"/>
      <c r="MI14" s="150"/>
      <c r="MJ14" s="150"/>
      <c r="MK14" s="150"/>
      <c r="ML14" s="150"/>
      <c r="MM14" s="150"/>
      <c r="MN14" s="150"/>
      <c r="MO14" s="150"/>
      <c r="MP14" s="150"/>
      <c r="MQ14" s="150"/>
      <c r="MR14" s="150"/>
      <c r="MS14" s="150"/>
      <c r="MT14" s="150"/>
      <c r="MU14" s="150"/>
      <c r="MV14" s="150"/>
      <c r="MW14" s="150"/>
      <c r="MX14" s="150"/>
      <c r="MY14" s="150"/>
      <c r="MZ14" s="150"/>
      <c r="NA14" s="150"/>
      <c r="NB14" s="150"/>
      <c r="NC14" s="150"/>
      <c r="ND14" s="150"/>
      <c r="NE14" s="150"/>
      <c r="NF14" s="150"/>
      <c r="NG14" s="150"/>
      <c r="NH14" s="150"/>
      <c r="NI14" s="150"/>
      <c r="NJ14" s="150"/>
      <c r="NK14" s="150"/>
      <c r="NL14" s="150"/>
      <c r="NM14" s="150"/>
      <c r="NN14" s="150"/>
      <c r="NO14" s="150"/>
      <c r="NP14" s="150"/>
      <c r="NQ14" s="150"/>
      <c r="NR14" s="150"/>
      <c r="NS14" s="150"/>
      <c r="NT14" s="150"/>
      <c r="NU14" s="150"/>
      <c r="NV14" s="150"/>
      <c r="NW14" s="150"/>
      <c r="NX14" s="150"/>
      <c r="NY14" s="150"/>
      <c r="NZ14" s="150"/>
      <c r="OA14" s="150"/>
      <c r="OB14" s="150"/>
      <c r="OC14" s="150"/>
      <c r="OD14" s="150"/>
      <c r="OE14" s="150"/>
      <c r="OF14" s="150"/>
      <c r="OG14" s="150"/>
      <c r="OH14" s="150"/>
      <c r="OI14" s="150"/>
      <c r="OJ14" s="150"/>
      <c r="OK14" s="150"/>
      <c r="OL14" s="150"/>
      <c r="OM14" s="150"/>
      <c r="ON14" s="150"/>
      <c r="OO14" s="150"/>
      <c r="OP14" s="150"/>
      <c r="OQ14" s="150"/>
      <c r="OR14" s="150"/>
      <c r="OS14" s="150"/>
      <c r="OT14" s="150"/>
      <c r="OU14" s="150"/>
      <c r="OV14" s="150"/>
      <c r="OW14" s="150"/>
      <c r="OX14" s="150"/>
      <c r="OY14" s="150"/>
      <c r="OZ14" s="150"/>
      <c r="PA14" s="150"/>
      <c r="PB14" s="150"/>
      <c r="PC14" s="150"/>
      <c r="PD14" s="150"/>
      <c r="PE14" s="150"/>
      <c r="PF14" s="150"/>
      <c r="PG14" s="150"/>
      <c r="PH14" s="150"/>
      <c r="PI14" s="150"/>
      <c r="PJ14" s="150"/>
      <c r="PK14" s="150"/>
      <c r="PL14" s="150"/>
      <c r="PM14" s="150"/>
      <c r="PN14" s="150"/>
      <c r="PO14" s="150"/>
      <c r="PP14" s="150"/>
      <c r="PQ14" s="150"/>
      <c r="PR14" s="150"/>
      <c r="PS14" s="150"/>
      <c r="PT14" s="150"/>
      <c r="PU14" s="150"/>
      <c r="PV14" s="150"/>
      <c r="PW14" s="150"/>
      <c r="PX14" s="150"/>
      <c r="PY14" s="150"/>
      <c r="PZ14" s="150"/>
      <c r="QA14" s="150"/>
      <c r="QB14" s="150"/>
      <c r="QC14" s="150"/>
      <c r="QD14" s="150"/>
      <c r="QE14" s="150"/>
      <c r="QF14" s="150"/>
      <c r="QG14" s="150"/>
      <c r="QH14" s="150"/>
      <c r="QI14" s="150"/>
      <c r="QJ14" s="150"/>
      <c r="QK14" s="150"/>
      <c r="QL14" s="150"/>
      <c r="QM14" s="150"/>
      <c r="QN14" s="150"/>
      <c r="QO14" s="150"/>
      <c r="QP14" s="150"/>
      <c r="QQ14" s="150"/>
      <c r="QR14" s="150"/>
      <c r="QS14" s="150"/>
      <c r="QT14" s="150"/>
      <c r="QU14" s="150"/>
      <c r="QV14" s="150"/>
      <c r="QW14" s="150"/>
      <c r="QX14" s="150"/>
      <c r="QY14" s="150"/>
      <c r="QZ14" s="150"/>
      <c r="RA14" s="150"/>
      <c r="RB14" s="150"/>
      <c r="RC14" s="150"/>
      <c r="RD14" s="150"/>
      <c r="RE14" s="150"/>
      <c r="RF14" s="150"/>
      <c r="RG14" s="150"/>
      <c r="RH14" s="150"/>
      <c r="RI14" s="150"/>
      <c r="RJ14" s="150"/>
      <c r="RK14" s="150"/>
      <c r="RL14" s="150"/>
      <c r="RM14" s="150"/>
      <c r="RN14" s="150"/>
      <c r="RO14" s="150"/>
      <c r="RP14" s="150"/>
      <c r="RQ14" s="150"/>
      <c r="RR14" s="150"/>
      <c r="RS14" s="150"/>
      <c r="RT14" s="150"/>
      <c r="RU14" s="150"/>
      <c r="RV14" s="150"/>
      <c r="RW14" s="150"/>
      <c r="RX14" s="150"/>
      <c r="RY14" s="150"/>
      <c r="RZ14" s="150"/>
      <c r="SA14" s="150"/>
      <c r="SB14" s="150"/>
      <c r="SC14" s="150"/>
      <c r="SD14" s="150"/>
      <c r="SE14" s="150"/>
      <c r="SF14" s="150"/>
      <c r="SG14" s="150"/>
      <c r="SH14" s="150"/>
      <c r="SI14" s="150"/>
      <c r="SJ14" s="150"/>
      <c r="SK14" s="150"/>
      <c r="SL14" s="150"/>
      <c r="SM14" s="150"/>
      <c r="SN14" s="150"/>
      <c r="SO14" s="150"/>
      <c r="SP14" s="150"/>
      <c r="SQ14" s="150"/>
      <c r="SR14" s="150"/>
      <c r="SS14" s="150"/>
      <c r="ST14" s="150"/>
      <c r="SU14" s="150"/>
      <c r="SV14" s="150"/>
      <c r="SW14" s="150"/>
      <c r="SX14" s="150"/>
      <c r="SY14" s="150"/>
      <c r="SZ14" s="150"/>
      <c r="TA14" s="150"/>
      <c r="TB14" s="150"/>
      <c r="TC14" s="150"/>
      <c r="TD14" s="150"/>
      <c r="TE14" s="150"/>
      <c r="TF14" s="150"/>
      <c r="TG14" s="150"/>
      <c r="TH14" s="150"/>
      <c r="TI14" s="150"/>
      <c r="TJ14" s="150"/>
      <c r="TK14" s="150"/>
      <c r="TL14" s="150"/>
      <c r="TM14" s="150"/>
      <c r="TN14" s="150"/>
      <c r="TO14" s="150"/>
      <c r="TP14" s="150"/>
      <c r="TQ14" s="150"/>
      <c r="TR14" s="150"/>
      <c r="TS14" s="150"/>
      <c r="TT14" s="150"/>
      <c r="TU14" s="150"/>
      <c r="TV14" s="150"/>
      <c r="TW14" s="150"/>
      <c r="TX14" s="150"/>
      <c r="TY14" s="150"/>
      <c r="TZ14" s="150"/>
      <c r="UA14" s="150"/>
      <c r="UB14" s="150"/>
      <c r="UC14" s="150"/>
      <c r="UD14" s="150"/>
      <c r="UE14" s="150"/>
      <c r="UF14" s="150"/>
      <c r="UG14" s="150"/>
      <c r="UH14" s="150"/>
      <c r="UI14" s="150"/>
      <c r="UJ14" s="150"/>
      <c r="UK14" s="150"/>
      <c r="UL14" s="150"/>
      <c r="UM14" s="150"/>
      <c r="UN14" s="150"/>
      <c r="UO14" s="150"/>
      <c r="UP14" s="150"/>
      <c r="UQ14" s="150"/>
      <c r="UR14" s="150"/>
      <c r="US14" s="150"/>
      <c r="UT14" s="150"/>
      <c r="UU14" s="150"/>
      <c r="UV14" s="150"/>
      <c r="UW14" s="150"/>
      <c r="UX14" s="150"/>
      <c r="UY14" s="150"/>
      <c r="UZ14" s="150"/>
      <c r="VA14" s="150"/>
      <c r="VB14" s="150"/>
      <c r="VC14" s="150"/>
      <c r="VD14" s="150"/>
      <c r="VE14" s="150"/>
      <c r="VF14" s="150"/>
      <c r="VG14" s="150"/>
      <c r="VH14" s="150"/>
      <c r="VI14" s="150"/>
      <c r="VJ14" s="150"/>
      <c r="VK14" s="150"/>
      <c r="VL14" s="150"/>
      <c r="VM14" s="150"/>
      <c r="VN14" s="150"/>
      <c r="VO14" s="150"/>
      <c r="VP14" s="150"/>
      <c r="VQ14" s="150"/>
      <c r="VR14" s="150"/>
      <c r="VS14" s="150"/>
      <c r="VT14" s="150"/>
      <c r="VU14" s="150"/>
      <c r="VV14" s="150"/>
      <c r="VW14" s="150"/>
      <c r="VX14" s="150"/>
      <c r="VY14" s="150"/>
      <c r="VZ14" s="150"/>
      <c r="WA14" s="150"/>
      <c r="WB14" s="150"/>
      <c r="WC14" s="150"/>
      <c r="WD14" s="150"/>
      <c r="WE14" s="150"/>
      <c r="WF14" s="150"/>
      <c r="WG14" s="150"/>
      <c r="WH14" s="150"/>
      <c r="WI14" s="150"/>
      <c r="WJ14" s="150"/>
      <c r="WK14" s="150"/>
      <c r="WL14" s="150"/>
      <c r="WM14" s="150"/>
      <c r="WN14" s="150"/>
      <c r="WO14" s="150"/>
      <c r="WP14" s="150"/>
      <c r="WQ14" s="150"/>
      <c r="WR14" s="150"/>
      <c r="WS14" s="150"/>
      <c r="WT14" s="150"/>
      <c r="WU14" s="150"/>
      <c r="WV14" s="150"/>
      <c r="WW14" s="150"/>
      <c r="WX14" s="150"/>
      <c r="WY14" s="150"/>
      <c r="WZ14" s="150"/>
      <c r="XA14" s="150"/>
      <c r="XB14" s="150"/>
      <c r="XC14" s="150"/>
      <c r="XD14" s="150"/>
      <c r="XE14" s="150"/>
      <c r="XF14" s="150"/>
      <c r="XG14" s="150"/>
      <c r="XH14" s="150"/>
      <c r="XI14" s="150"/>
      <c r="XJ14" s="150"/>
      <c r="XK14" s="150"/>
      <c r="XL14" s="150"/>
      <c r="XM14" s="150"/>
      <c r="XN14" s="150"/>
      <c r="XO14" s="150"/>
      <c r="XP14" s="150"/>
      <c r="XQ14" s="150"/>
      <c r="XR14" s="150"/>
      <c r="XS14" s="150"/>
      <c r="XT14" s="150"/>
      <c r="XU14" s="150"/>
      <c r="XV14" s="150"/>
      <c r="XW14" s="150"/>
      <c r="XX14" s="150"/>
      <c r="XY14" s="150"/>
      <c r="XZ14" s="150"/>
      <c r="YA14" s="150"/>
      <c r="YB14" s="150"/>
      <c r="YC14" s="150"/>
      <c r="YD14" s="150"/>
      <c r="YE14" s="150"/>
      <c r="YF14" s="150"/>
      <c r="YG14" s="150"/>
      <c r="YH14" s="150"/>
      <c r="YI14" s="150"/>
      <c r="YJ14" s="150"/>
      <c r="YK14" s="150"/>
      <c r="YL14" s="150"/>
      <c r="YM14" s="150"/>
      <c r="YN14" s="150"/>
      <c r="YO14" s="150"/>
      <c r="YP14" s="150"/>
      <c r="YQ14" s="150"/>
      <c r="YR14" s="150"/>
      <c r="YS14" s="150"/>
      <c r="YT14" s="150"/>
      <c r="YU14" s="150"/>
      <c r="YV14" s="150"/>
      <c r="YW14" s="150"/>
      <c r="YX14" s="150"/>
      <c r="YY14" s="150"/>
      <c r="YZ14" s="150"/>
      <c r="ZA14" s="150"/>
      <c r="ZB14" s="150"/>
      <c r="ZC14" s="150"/>
      <c r="ZD14" s="150"/>
      <c r="ZE14" s="150"/>
      <c r="ZF14" s="150"/>
      <c r="ZG14" s="150"/>
      <c r="ZH14" s="150"/>
      <c r="ZI14" s="150"/>
      <c r="ZJ14" s="150"/>
      <c r="ZK14" s="150"/>
      <c r="ZL14" s="150"/>
      <c r="ZM14" s="150"/>
      <c r="ZN14" s="150"/>
      <c r="ZO14" s="150"/>
      <c r="ZP14" s="150"/>
      <c r="ZQ14" s="150"/>
      <c r="ZR14" s="150"/>
      <c r="ZS14" s="150"/>
      <c r="ZT14" s="150"/>
      <c r="ZU14" s="150"/>
      <c r="ZV14" s="150"/>
      <c r="ZW14" s="150"/>
      <c r="ZX14" s="150"/>
      <c r="ZY14" s="150"/>
      <c r="ZZ14" s="150"/>
      <c r="AAA14" s="150"/>
      <c r="AAB14" s="150"/>
      <c r="AAC14" s="150"/>
      <c r="AAD14" s="150"/>
      <c r="AAE14" s="150"/>
      <c r="AAF14" s="150"/>
      <c r="AAG14" s="150"/>
      <c r="AAH14" s="150"/>
      <c r="AAI14" s="150"/>
      <c r="AAJ14" s="150"/>
      <c r="AAK14" s="150"/>
      <c r="AAL14" s="150"/>
      <c r="AAM14" s="150"/>
      <c r="AAN14" s="150"/>
      <c r="AAO14" s="150"/>
      <c r="AAP14" s="150"/>
      <c r="AAQ14" s="150"/>
      <c r="AAR14" s="150"/>
      <c r="AAS14" s="150"/>
      <c r="AAT14" s="150"/>
      <c r="AAU14" s="150"/>
      <c r="AAV14" s="150"/>
      <c r="AAW14" s="150"/>
      <c r="AAX14" s="150"/>
      <c r="AAY14" s="150"/>
      <c r="AAZ14" s="150"/>
      <c r="ABA14" s="150"/>
      <c r="ABB14" s="150"/>
      <c r="ABC14" s="150"/>
      <c r="ABD14" s="150"/>
      <c r="ABE14" s="150"/>
      <c r="ABF14" s="150"/>
      <c r="ABG14" s="150"/>
      <c r="ABH14" s="150"/>
      <c r="ABI14" s="150"/>
      <c r="ABJ14" s="150"/>
      <c r="ABK14" s="150"/>
      <c r="ABL14" s="150"/>
      <c r="ABM14" s="150"/>
      <c r="ABN14" s="150"/>
      <c r="ABO14" s="150"/>
      <c r="ABP14" s="150"/>
      <c r="ABQ14" s="150"/>
      <c r="ABR14" s="150"/>
      <c r="ABS14" s="150"/>
      <c r="ABT14" s="150"/>
      <c r="ABU14" s="150"/>
      <c r="ABV14" s="150"/>
      <c r="ABW14" s="150"/>
      <c r="ABX14" s="150"/>
      <c r="ABY14" s="150"/>
      <c r="ABZ14" s="150"/>
      <c r="ACA14" s="150"/>
      <c r="ACB14" s="150"/>
      <c r="ACC14" s="150"/>
      <c r="ACD14" s="150"/>
      <c r="ACE14" s="150"/>
      <c r="ACF14" s="150"/>
      <c r="ACG14" s="150"/>
      <c r="ACH14" s="150"/>
      <c r="ACI14" s="150"/>
      <c r="ACJ14" s="150"/>
      <c r="ACK14" s="150"/>
      <c r="ACL14" s="150"/>
      <c r="ACM14" s="150"/>
      <c r="ACN14" s="150"/>
      <c r="ACO14" s="150"/>
      <c r="ACP14" s="150"/>
      <c r="ACQ14" s="150"/>
      <c r="ACR14" s="150"/>
      <c r="ACS14" s="150"/>
      <c r="ACT14" s="150"/>
      <c r="ACU14" s="150"/>
      <c r="ACV14" s="150"/>
      <c r="ACW14" s="150"/>
      <c r="ACX14" s="150"/>
      <c r="ACY14" s="150"/>
      <c r="ACZ14" s="150"/>
      <c r="ADA14" s="150"/>
      <c r="ADB14" s="150"/>
      <c r="ADC14" s="150"/>
      <c r="ADD14" s="150"/>
      <c r="ADE14" s="150"/>
      <c r="ADF14" s="150"/>
      <c r="ADG14" s="150"/>
      <c r="ADH14" s="150"/>
      <c r="ADI14" s="150"/>
      <c r="ADJ14" s="150"/>
      <c r="ADK14" s="150"/>
      <c r="ADL14" s="150"/>
      <c r="ADM14" s="150"/>
      <c r="ADN14" s="150"/>
      <c r="ADO14" s="150"/>
      <c r="ADP14" s="150"/>
      <c r="ADQ14" s="150"/>
      <c r="ADR14" s="150"/>
      <c r="ADS14" s="150"/>
      <c r="ADT14" s="150"/>
      <c r="ADU14" s="150"/>
      <c r="ADV14" s="150"/>
      <c r="ADW14" s="150"/>
      <c r="ADX14" s="150"/>
      <c r="ADY14" s="150"/>
      <c r="ADZ14" s="150"/>
      <c r="AEA14" s="150"/>
      <c r="AEB14" s="150"/>
      <c r="AEC14" s="150"/>
      <c r="AED14" s="150"/>
      <c r="AEE14" s="150"/>
      <c r="AEF14" s="150"/>
      <c r="AEG14" s="150"/>
      <c r="AEH14" s="150"/>
      <c r="AEI14" s="150"/>
      <c r="AEJ14" s="150"/>
      <c r="AEK14" s="150"/>
      <c r="AEL14" s="150"/>
      <c r="AEM14" s="150"/>
      <c r="AEN14" s="150"/>
      <c r="AEO14" s="150"/>
      <c r="AEP14" s="150"/>
      <c r="AEQ14" s="150"/>
      <c r="AER14" s="150"/>
      <c r="AES14" s="150"/>
      <c r="AET14" s="150"/>
      <c r="AEU14" s="150"/>
      <c r="AEV14" s="150"/>
      <c r="AEW14" s="150"/>
      <c r="AEX14" s="150"/>
      <c r="AEY14" s="150"/>
      <c r="AEZ14" s="150"/>
      <c r="AFA14" s="150"/>
      <c r="AFB14" s="150"/>
      <c r="AFC14" s="150"/>
      <c r="AFD14" s="150"/>
      <c r="AFE14" s="150"/>
      <c r="AFF14" s="150"/>
      <c r="AFG14" s="150"/>
      <c r="AFH14" s="150"/>
      <c r="AFI14" s="150"/>
      <c r="AFJ14" s="150"/>
      <c r="AFK14" s="150"/>
      <c r="AFL14" s="150"/>
      <c r="AFM14" s="150"/>
      <c r="AFN14" s="150"/>
      <c r="AFO14" s="150"/>
      <c r="AFP14" s="150"/>
      <c r="AFQ14" s="150"/>
      <c r="AFR14" s="150"/>
      <c r="AFS14" s="150"/>
      <c r="AFT14" s="150"/>
      <c r="AFU14" s="150"/>
      <c r="AFV14" s="150"/>
      <c r="AFW14" s="150"/>
      <c r="AFX14" s="150"/>
      <c r="AFY14" s="150"/>
      <c r="AFZ14" s="150"/>
      <c r="AGA14" s="150"/>
      <c r="AGB14" s="150"/>
      <c r="AGC14" s="150"/>
      <c r="AGD14" s="150"/>
      <c r="AGE14" s="150"/>
      <c r="AGF14" s="150"/>
      <c r="AGG14" s="150"/>
      <c r="AGH14" s="150"/>
      <c r="AGI14" s="150"/>
      <c r="AGJ14" s="150"/>
      <c r="AGK14" s="150"/>
      <c r="AGL14" s="150"/>
      <c r="AGM14" s="150"/>
      <c r="AGN14" s="150"/>
      <c r="AGO14" s="150"/>
      <c r="AGP14" s="150"/>
      <c r="AGQ14" s="150"/>
      <c r="AGR14" s="150"/>
      <c r="AGS14" s="150"/>
      <c r="AGT14" s="150"/>
      <c r="AGU14" s="150"/>
      <c r="AGV14" s="150"/>
      <c r="AGW14" s="150"/>
      <c r="AGX14" s="150"/>
      <c r="AGY14" s="150"/>
      <c r="AGZ14" s="150"/>
      <c r="AHA14" s="150"/>
      <c r="AHB14" s="150"/>
      <c r="AHC14" s="150"/>
      <c r="AHD14" s="150"/>
      <c r="AHE14" s="150"/>
      <c r="AHF14" s="150"/>
      <c r="AHG14" s="150"/>
      <c r="AHH14" s="150"/>
      <c r="AHI14" s="150"/>
      <c r="AHJ14" s="150"/>
      <c r="AHK14" s="150"/>
      <c r="AHL14" s="150"/>
      <c r="AHM14" s="150"/>
      <c r="AHN14" s="150"/>
      <c r="AHO14" s="150"/>
      <c r="AHP14" s="150"/>
      <c r="AHQ14" s="150"/>
      <c r="AHR14" s="150"/>
      <c r="AHS14" s="150"/>
      <c r="AHT14" s="150"/>
      <c r="AHU14" s="150"/>
      <c r="AHV14" s="150"/>
      <c r="AHW14" s="150"/>
      <c r="AHX14" s="150"/>
      <c r="AHY14" s="150"/>
      <c r="AHZ14" s="150"/>
      <c r="AIA14" s="150"/>
      <c r="AIB14" s="150"/>
      <c r="AIC14" s="150"/>
      <c r="AID14" s="150"/>
      <c r="AIE14" s="150"/>
      <c r="AIF14" s="150"/>
      <c r="AIG14" s="150"/>
      <c r="AIH14" s="150"/>
      <c r="AII14" s="150"/>
      <c r="AIJ14" s="150"/>
      <c r="AIK14" s="150"/>
      <c r="AIL14" s="150"/>
      <c r="AIM14" s="150"/>
      <c r="AIN14" s="150"/>
      <c r="AIO14" s="150"/>
      <c r="AIP14" s="150"/>
      <c r="AIQ14" s="150"/>
      <c r="AIR14" s="150"/>
      <c r="AIS14" s="150"/>
      <c r="AIT14" s="150"/>
      <c r="AIU14" s="150"/>
      <c r="AIV14" s="150"/>
      <c r="AIW14" s="150"/>
      <c r="AIX14" s="150"/>
      <c r="AIY14" s="150"/>
      <c r="AIZ14" s="150"/>
      <c r="AJA14" s="150"/>
      <c r="AJB14" s="150"/>
      <c r="AJC14" s="150"/>
      <c r="AJD14" s="150"/>
      <c r="AJE14" s="150"/>
      <c r="AJF14" s="150"/>
      <c r="AJG14" s="150"/>
      <c r="AJH14" s="150"/>
      <c r="AJI14" s="150"/>
      <c r="AJJ14" s="150"/>
      <c r="AJK14" s="150"/>
      <c r="AJL14" s="150"/>
      <c r="AJM14" s="150"/>
      <c r="AJN14" s="150"/>
      <c r="AJO14" s="150"/>
      <c r="AJP14" s="150"/>
      <c r="AJQ14" s="150"/>
      <c r="AJR14" s="150"/>
      <c r="AJS14" s="150"/>
      <c r="AJT14" s="150"/>
      <c r="AJU14" s="150"/>
      <c r="AJV14" s="150"/>
      <c r="AJW14" s="150"/>
      <c r="AJX14" s="150"/>
      <c r="AJY14" s="150"/>
      <c r="AJZ14" s="150"/>
      <c r="AKA14" s="150"/>
      <c r="AKB14" s="150"/>
      <c r="AKC14" s="150"/>
      <c r="AKD14" s="150"/>
      <c r="AKE14" s="150"/>
      <c r="AKF14" s="150"/>
      <c r="AKG14" s="150"/>
      <c r="AKH14" s="150"/>
      <c r="AKI14" s="150"/>
      <c r="AKJ14" s="150"/>
      <c r="AKK14" s="150"/>
      <c r="AKL14" s="150"/>
      <c r="AKM14" s="150"/>
      <c r="AKN14" s="150"/>
      <c r="AKO14" s="150"/>
      <c r="AKP14" s="150"/>
      <c r="AKQ14" s="150"/>
      <c r="AKR14" s="150"/>
      <c r="AKS14" s="150"/>
      <c r="AKT14" s="150"/>
      <c r="AKU14" s="150"/>
      <c r="AKV14" s="150"/>
      <c r="AKW14" s="150"/>
      <c r="AKX14" s="150"/>
      <c r="AKY14" s="150"/>
      <c r="AKZ14" s="150"/>
      <c r="ALA14" s="150"/>
      <c r="ALB14" s="150"/>
      <c r="ALC14" s="150"/>
      <c r="ALD14" s="150"/>
      <c r="ALE14" s="150"/>
      <c r="ALF14" s="150"/>
      <c r="ALG14" s="150"/>
      <c r="ALH14" s="150"/>
      <c r="ALI14" s="150"/>
      <c r="ALJ14" s="150"/>
      <c r="ALK14" s="150"/>
      <c r="ALL14" s="150"/>
      <c r="ALM14" s="150"/>
      <c r="ALN14" s="150"/>
      <c r="ALO14" s="150"/>
      <c r="ALP14" s="150"/>
      <c r="ALQ14" s="150"/>
      <c r="ALR14" s="150"/>
      <c r="ALS14" s="150"/>
      <c r="ALT14" s="150"/>
      <c r="ALU14" s="150"/>
      <c r="ALV14" s="150"/>
      <c r="ALW14" s="150"/>
      <c r="ALX14" s="150"/>
    </row>
    <row r="15" customFormat="false" ht="15" hidden="false" customHeight="true" outlineLevel="0" collapsed="false">
      <c r="B15" s="70" t="s">
        <v>139</v>
      </c>
      <c r="C15" s="71" t="n">
        <f aca="false">VLOOKUP($B15,Unidades!$D$5:$N$24,6,FALSE())</f>
        <v>873</v>
      </c>
      <c r="D15" s="71" t="n">
        <f aca="false">VLOOKUP($B15,Unidades!$D$5:$N$24,7,FALSE())</f>
        <v>0</v>
      </c>
      <c r="E15" s="71" t="n">
        <f aca="false">VLOOKUP($B15,Unidades!$D$5:$N$24,8,FALSE())</f>
        <v>873</v>
      </c>
      <c r="F15" s="71" t="n">
        <f aca="false">VLOOKUP($B15,Unidades!$D$5:$N$24,9,FALSE())</f>
        <v>0</v>
      </c>
      <c r="G15" s="71" t="n">
        <f aca="false">D15+$E$6*E15+$F$6*F15</f>
        <v>305.55</v>
      </c>
      <c r="H15" s="72" t="n">
        <f aca="false">IF(G15&lt;750,1.5,IF(G15&lt;2000,2,IF(G15&lt;4000,3,12)))</f>
        <v>1.5</v>
      </c>
      <c r="I15" s="72" t="n">
        <f aca="false">$I$6*H15</f>
        <v>1.8</v>
      </c>
      <c r="J15" s="72" t="str">
        <f aca="false">VLOOKUP($B15,Unidades!$D$5:$N$24,10,FALSE())</f>
        <v>SIM</v>
      </c>
      <c r="K15" s="72" t="str">
        <f aca="false">VLOOKUP($B15,Unidades!$D$5:$N$24,11,FALSE())</f>
        <v>SIM</v>
      </c>
      <c r="L15" s="72" t="n">
        <f aca="false">$L$6*H15+(IF(J15="SIM",$J$6,0))</f>
        <v>3.65</v>
      </c>
      <c r="M15" s="72" t="n">
        <f aca="false">$M$6*H15+(IF(J15="SIM",$J$6,0))+(IF(K15="SIM",$K$6,0))</f>
        <v>7.65</v>
      </c>
      <c r="N15" s="72" t="n">
        <f aca="false">H15*12+I15*4+L15*2+M15</f>
        <v>40.15</v>
      </c>
      <c r="O15" s="73" t="n">
        <f aca="false">IF(K15="não", N15*(C$19+D$19),N15*(C$19+D$19)+(M15*+E$19))</f>
        <v>2502.949679</v>
      </c>
      <c r="P15" s="74"/>
      <c r="Q15" s="29" t="str">
        <f aca="false">B15</f>
        <v>DEPÓSITO JOINVILLE - GUANABARA</v>
      </c>
      <c r="R15" s="31" t="n">
        <f aca="false">H15*($C$19+$D$19)</f>
        <v>81.7691536363636</v>
      </c>
      <c r="S15" s="31" t="n">
        <f aca="false">I15*($C$19+$D$19)</f>
        <v>98.1229843636364</v>
      </c>
      <c r="T15" s="31" t="n">
        <f aca="false">L15*($C$19+$D$19)</f>
        <v>198.971607181818</v>
      </c>
      <c r="U15" s="31" t="n">
        <f aca="false">IF(K15="não",M15*($C$19+$D$19),M15*(C$19+D$19+E$19))</f>
        <v>731.284683545455</v>
      </c>
      <c r="V15" s="31" t="n">
        <f aca="false">VLOOKUP(Q15,'Desl. Base Joinville'!$C$5:$S$13,13,FALSE())*($C$19+$D$19+$E$19*(VLOOKUP(Q15,'Desl. Base Joinville'!$C$5:$S$13,17,FALSE())/12))</f>
        <v>5.79361024242424</v>
      </c>
      <c r="W15" s="31" t="n">
        <f aca="false">VLOOKUP(Q15,'Desl. Base Joinville'!$C$5:$S$13,15,FALSE())*(2+(VLOOKUP(Q15,'Desl. Base Joinville'!$C$5:$S$13,17,FALSE())/12))</f>
        <v>0</v>
      </c>
      <c r="X15" s="31" t="n">
        <f aca="false">VLOOKUP(Q15,'Desl. Base Joinville'!$C$5:$Q$13,14,FALSE())</f>
        <v>0</v>
      </c>
      <c r="Y15" s="31" t="n">
        <f aca="false">VLOOKUP(Q15,'Desl. Base Joinville'!$C$5:Q$13,13,FALSE())*'Desl. Base Joinville'!$E$18+'Desl. Base Joinville'!$E$19*N15/12</f>
        <v>27.3916666666667</v>
      </c>
      <c r="Z15" s="31" t="n">
        <f aca="false">(H15/$AC$5)*'Equipe Técnica'!$C$13</f>
        <v>361.089174142765</v>
      </c>
      <c r="AA15" s="31" t="n">
        <f aca="false">(I15/$AC$5)*'Equipe Técnica'!$C$13</f>
        <v>433.307008971318</v>
      </c>
      <c r="AB15" s="31" t="n">
        <f aca="false">(L15/$AC$5)*'Equipe Técnica'!$C$13</f>
        <v>878.650323747396</v>
      </c>
      <c r="AC15" s="31" t="n">
        <f aca="false">(M15/$AC$5)*'Equipe Técnica'!$C$13</f>
        <v>1841.5547881281</v>
      </c>
      <c r="AD15" s="31" t="n">
        <f aca="false">R15+(($V15+$W15+$X15+$Y15)*12/19)+$Z15</f>
        <v>463.817450037502</v>
      </c>
      <c r="AE15" s="31" t="n">
        <f aca="false">S15+(($V15+$W15+$X15+$Y15)*12/19)+$AA15</f>
        <v>552.389115593328</v>
      </c>
      <c r="AF15" s="31" t="n">
        <f aca="false">T15+(($V15+$W15+$X15+$Y15)*12/19)+$AB15</f>
        <v>1098.58105318759</v>
      </c>
      <c r="AG15" s="31" t="n">
        <f aca="false">U15+(($V15+$W15+$X15+$Y15)*12/19)+$AC15</f>
        <v>2593.79859393193</v>
      </c>
      <c r="AH15" s="149"/>
      <c r="AI15" s="29" t="str">
        <f aca="false">B15</f>
        <v>DEPÓSITO JOINVILLE - GUANABARA</v>
      </c>
      <c r="AJ15" s="75" t="n">
        <f aca="false">VLOOKUP(AI15,Unidades!D$5:H$24,5,)</f>
        <v>0.2707</v>
      </c>
      <c r="AK15" s="54" t="n">
        <f aca="false">AD15*(1+$AJ15)</f>
        <v>589.372833762654</v>
      </c>
      <c r="AL15" s="54" t="n">
        <f aca="false">AE15*(1+$AJ15)</f>
        <v>701.920849184442</v>
      </c>
      <c r="AM15" s="54" t="n">
        <f aca="false">AF15*(1+$AJ15)</f>
        <v>1395.96694428547</v>
      </c>
      <c r="AN15" s="54" t="n">
        <f aca="false">AG15*(1+$AJ15)</f>
        <v>3295.9398733093</v>
      </c>
      <c r="AO15" s="54" t="n">
        <f aca="false">((AK15*12)+(AL15*4)+(AM15*2)+AN15)/12</f>
        <v>1330.66926364749</v>
      </c>
      <c r="AP15" s="54" t="n">
        <f aca="false">AO15*$AP$6</f>
        <v>3508.12805870701</v>
      </c>
      <c r="AQ15" s="54" t="n">
        <f aca="false">AO15+AP15</f>
        <v>4838.7973223545</v>
      </c>
      <c r="AR15" s="76"/>
      <c r="AS15" s="79" t="s">
        <v>95</v>
      </c>
      <c r="AT15" s="54" t="n">
        <f aca="false">AT11+AT13</f>
        <v>646348.268715817</v>
      </c>
      <c r="AU15" s="54"/>
      <c r="AV15" s="76"/>
      <c r="AW15" s="76"/>
    </row>
    <row r="16" customFormat="false" ht="19.5" hidden="false" customHeight="true" outlineLevel="0" collapsed="false">
      <c r="A16" s="150"/>
      <c r="B16" s="11"/>
      <c r="C16" s="80" t="n">
        <f aca="false">SUM(C7:C15)</f>
        <v>10788.9</v>
      </c>
      <c r="D16" s="80" t="n">
        <f aca="false">SUM(D7:D15)</f>
        <v>6004.78</v>
      </c>
      <c r="E16" s="80" t="n">
        <f aca="false">SUM(E7:E15)</f>
        <v>3921.12</v>
      </c>
      <c r="F16" s="80" t="n">
        <f aca="false">SUM(F7:F15)</f>
        <v>863</v>
      </c>
      <c r="G16" s="80" t="n">
        <f aca="false">SUM(G7:G15)</f>
        <v>7463.472</v>
      </c>
      <c r="H16" s="81" t="n">
        <f aca="false">SUM(H7:H15)</f>
        <v>16.5</v>
      </c>
      <c r="I16" s="81" t="n">
        <f aca="false">SUM(I7:I15)</f>
        <v>19.8</v>
      </c>
      <c r="J16" s="81" t="n">
        <f aca="false">COUNTIF(J7:J15,"SIM")</f>
        <v>3</v>
      </c>
      <c r="K16" s="81" t="n">
        <f aca="false">COUNTIF(K7:K15,"SIM")</f>
        <v>5</v>
      </c>
      <c r="L16" s="81" t="n">
        <f aca="false">SUM(L7:L15)</f>
        <v>24.15</v>
      </c>
      <c r="M16" s="81" t="n">
        <f aca="false">SUM(M7:M15)</f>
        <v>44.15</v>
      </c>
      <c r="N16" s="81" t="n">
        <f aca="false">SUM(N7:N15)</f>
        <v>369.65</v>
      </c>
      <c r="O16" s="82" t="n">
        <f aca="false">SUM(O7:O15)</f>
        <v>21670.6050944545</v>
      </c>
      <c r="P16" s="151"/>
      <c r="Q16" s="152" t="s">
        <v>98</v>
      </c>
      <c r="R16" s="84" t="n">
        <f aca="false">SUM(R7:R15)</f>
        <v>899.46069</v>
      </c>
      <c r="S16" s="84" t="n">
        <f aca="false">SUM(S7:S15)</f>
        <v>1079.352828</v>
      </c>
      <c r="T16" s="84" t="n">
        <f aca="false">SUM(T7:T15)</f>
        <v>1316.48337354545</v>
      </c>
      <c r="U16" s="84" t="n">
        <f aca="false">SUM(U7:U15)</f>
        <v>3926.69875536364</v>
      </c>
      <c r="V16" s="84" t="n">
        <f aca="false">SUM(V7:V15)</f>
        <v>824.581030434344</v>
      </c>
      <c r="W16" s="84" t="n">
        <f aca="false">SUM(W7:W15)</f>
        <v>580.833333333333</v>
      </c>
      <c r="X16" s="84" t="n">
        <f aca="false">SUM(X7:X15)</f>
        <v>0</v>
      </c>
      <c r="Y16" s="84" t="n">
        <f aca="false">SUM(Y7:Y15)</f>
        <v>997.6605</v>
      </c>
      <c r="Z16" s="84" t="n">
        <f aca="false">SUM(Z7:Z15)</f>
        <v>3971.98091557042</v>
      </c>
      <c r="AA16" s="84" t="n">
        <f aca="false">SUM(AA7:AA15)</f>
        <v>4766.3770986845</v>
      </c>
      <c r="AB16" s="84" t="n">
        <f aca="false">SUM(AB7:AB15)</f>
        <v>5813.53570369852</v>
      </c>
      <c r="AC16" s="84" t="n">
        <f aca="false">SUM(AC7:AC15)</f>
        <v>10628.0580256021</v>
      </c>
      <c r="AD16" s="84" t="n">
        <f aca="false">SUM(AD7:AD15)</f>
        <v>6389.17309847632</v>
      </c>
      <c r="AE16" s="84" t="n">
        <f aca="false">SUM(AE7:AE15)</f>
        <v>7363.4614195904</v>
      </c>
      <c r="AF16" s="84" t="n">
        <f aca="false">SUM(AF7:AF15)</f>
        <v>8647.75057014988</v>
      </c>
      <c r="AG16" s="84" t="n">
        <f aca="false">SUM(AG7:AG15)</f>
        <v>16072.4882738716</v>
      </c>
      <c r="AH16" s="45"/>
      <c r="AI16" s="81" t="s">
        <v>98</v>
      </c>
      <c r="AJ16" s="81"/>
      <c r="AK16" s="85" t="n">
        <f aca="false">SUM(AK7:AK15)</f>
        <v>8141.38293956081</v>
      </c>
      <c r="AL16" s="85" t="n">
        <f aca="false">SUM(AL7:AL15)</f>
        <v>9382.34578371923</v>
      </c>
      <c r="AM16" s="85" t="n">
        <f aca="false">SUM(AM7:AM15)</f>
        <v>11021.2094544151</v>
      </c>
      <c r="AN16" s="85" t="n">
        <f aca="false">SUM(AN7:AN15)</f>
        <v>20477.3765784128</v>
      </c>
      <c r="AO16" s="85" t="n">
        <f aca="false">SUM(AO7:AO15)</f>
        <v>14812.1478247375</v>
      </c>
      <c r="AP16" s="85" t="n">
        <f aca="false">SUM(AP7:AP15)</f>
        <v>39050.2079015806</v>
      </c>
      <c r="AQ16" s="85" t="n">
        <f aca="false">SUM(AQ7:AQ15)</f>
        <v>53862.3557263181</v>
      </c>
      <c r="AR16" s="76"/>
      <c r="AS16" s="76"/>
      <c r="AT16" s="76"/>
      <c r="AU16" s="76"/>
      <c r="AV16" s="76"/>
      <c r="AW16" s="76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150"/>
      <c r="BP16" s="150"/>
      <c r="BQ16" s="150"/>
      <c r="BR16" s="150"/>
      <c r="BS16" s="150"/>
      <c r="BT16" s="150"/>
      <c r="BU16" s="150"/>
      <c r="BV16" s="150"/>
      <c r="BW16" s="150"/>
      <c r="BX16" s="150"/>
      <c r="BY16" s="150"/>
      <c r="BZ16" s="150"/>
      <c r="CA16" s="150"/>
      <c r="CB16" s="150"/>
      <c r="CC16" s="150"/>
      <c r="CD16" s="150"/>
      <c r="CE16" s="150"/>
      <c r="CF16" s="150"/>
      <c r="CG16" s="150"/>
      <c r="CH16" s="150"/>
      <c r="CI16" s="150"/>
      <c r="CJ16" s="150"/>
      <c r="CK16" s="150"/>
      <c r="CL16" s="150"/>
      <c r="CM16" s="150"/>
      <c r="CN16" s="150"/>
      <c r="CO16" s="150"/>
      <c r="CP16" s="150"/>
      <c r="CQ16" s="150"/>
      <c r="CR16" s="150"/>
      <c r="CS16" s="150"/>
      <c r="CT16" s="150"/>
      <c r="CU16" s="150"/>
      <c r="CV16" s="150"/>
      <c r="CW16" s="150"/>
      <c r="CX16" s="150"/>
      <c r="CY16" s="150"/>
      <c r="CZ16" s="150"/>
      <c r="DA16" s="150"/>
      <c r="DB16" s="150"/>
      <c r="DC16" s="150"/>
      <c r="DD16" s="150"/>
      <c r="DE16" s="150"/>
      <c r="DF16" s="150"/>
      <c r="DG16" s="150"/>
      <c r="DH16" s="150"/>
      <c r="DI16" s="150"/>
      <c r="DJ16" s="150"/>
      <c r="DK16" s="150"/>
      <c r="DL16" s="150"/>
      <c r="DM16" s="150"/>
      <c r="DN16" s="150"/>
      <c r="DO16" s="150"/>
      <c r="DP16" s="150"/>
      <c r="DQ16" s="150"/>
      <c r="DR16" s="150"/>
      <c r="DS16" s="150"/>
      <c r="DT16" s="150"/>
      <c r="DU16" s="150"/>
      <c r="DV16" s="150"/>
      <c r="DW16" s="150"/>
      <c r="DX16" s="150"/>
      <c r="DY16" s="150"/>
      <c r="DZ16" s="150"/>
      <c r="EA16" s="150"/>
      <c r="EB16" s="150"/>
      <c r="EC16" s="150"/>
      <c r="ED16" s="150"/>
      <c r="EE16" s="150"/>
      <c r="EF16" s="150"/>
      <c r="EG16" s="150"/>
      <c r="EH16" s="150"/>
      <c r="EI16" s="150"/>
      <c r="EJ16" s="150"/>
      <c r="EK16" s="150"/>
      <c r="EL16" s="150"/>
      <c r="EM16" s="150"/>
      <c r="EN16" s="150"/>
      <c r="EO16" s="150"/>
      <c r="EP16" s="150"/>
      <c r="EQ16" s="150"/>
      <c r="ER16" s="150"/>
      <c r="ES16" s="150"/>
      <c r="ET16" s="150"/>
      <c r="EU16" s="150"/>
      <c r="EV16" s="150"/>
      <c r="EW16" s="150"/>
      <c r="EX16" s="150"/>
      <c r="EY16" s="150"/>
      <c r="EZ16" s="150"/>
      <c r="FA16" s="150"/>
      <c r="FB16" s="150"/>
      <c r="FC16" s="150"/>
      <c r="FD16" s="150"/>
      <c r="FE16" s="150"/>
      <c r="FF16" s="150"/>
      <c r="FG16" s="150"/>
      <c r="FH16" s="150"/>
      <c r="FI16" s="150"/>
      <c r="FJ16" s="150"/>
      <c r="FK16" s="150"/>
      <c r="FL16" s="150"/>
      <c r="FM16" s="150"/>
      <c r="FN16" s="150"/>
      <c r="FO16" s="150"/>
      <c r="FP16" s="150"/>
      <c r="FQ16" s="150"/>
      <c r="FR16" s="150"/>
      <c r="FS16" s="150"/>
      <c r="FT16" s="150"/>
      <c r="FU16" s="150"/>
      <c r="FV16" s="150"/>
      <c r="FW16" s="150"/>
      <c r="FX16" s="150"/>
      <c r="FY16" s="150"/>
      <c r="FZ16" s="150"/>
      <c r="GA16" s="150"/>
      <c r="GB16" s="150"/>
      <c r="GC16" s="150"/>
      <c r="GD16" s="150"/>
      <c r="GE16" s="150"/>
      <c r="GF16" s="150"/>
      <c r="GG16" s="150"/>
      <c r="GH16" s="150"/>
      <c r="GI16" s="150"/>
      <c r="GJ16" s="150"/>
      <c r="GK16" s="150"/>
      <c r="GL16" s="150"/>
      <c r="GM16" s="150"/>
      <c r="GN16" s="150"/>
      <c r="GO16" s="150"/>
      <c r="GP16" s="150"/>
      <c r="GQ16" s="150"/>
      <c r="GR16" s="150"/>
      <c r="GS16" s="150"/>
      <c r="GT16" s="150"/>
      <c r="GU16" s="150"/>
      <c r="GV16" s="150"/>
      <c r="GW16" s="150"/>
      <c r="GX16" s="150"/>
      <c r="GY16" s="150"/>
      <c r="GZ16" s="150"/>
      <c r="HA16" s="150"/>
      <c r="HB16" s="150"/>
      <c r="HC16" s="150"/>
      <c r="HD16" s="150"/>
      <c r="HE16" s="150"/>
      <c r="HF16" s="150"/>
      <c r="HG16" s="150"/>
      <c r="HH16" s="150"/>
      <c r="HI16" s="150"/>
      <c r="HJ16" s="150"/>
      <c r="HK16" s="150"/>
      <c r="HL16" s="150"/>
      <c r="HM16" s="150"/>
      <c r="HN16" s="150"/>
      <c r="HO16" s="150"/>
      <c r="HP16" s="150"/>
      <c r="HQ16" s="150"/>
      <c r="HR16" s="150"/>
      <c r="HS16" s="150"/>
      <c r="HT16" s="150"/>
      <c r="HU16" s="150"/>
      <c r="HV16" s="150"/>
      <c r="HW16" s="150"/>
      <c r="HX16" s="150"/>
      <c r="HY16" s="150"/>
      <c r="HZ16" s="150"/>
      <c r="IA16" s="150"/>
      <c r="IB16" s="150"/>
      <c r="IC16" s="150"/>
      <c r="ID16" s="150"/>
      <c r="IE16" s="150"/>
      <c r="IF16" s="150"/>
      <c r="IG16" s="150"/>
      <c r="IH16" s="150"/>
      <c r="II16" s="150"/>
      <c r="IJ16" s="150"/>
      <c r="IK16" s="150"/>
      <c r="IL16" s="150"/>
      <c r="IM16" s="150"/>
      <c r="IN16" s="150"/>
      <c r="IO16" s="150"/>
      <c r="IP16" s="150"/>
      <c r="IQ16" s="150"/>
      <c r="IR16" s="150"/>
      <c r="IS16" s="150"/>
      <c r="IT16" s="150"/>
      <c r="IU16" s="150"/>
      <c r="IV16" s="150"/>
    </row>
    <row r="17" customFormat="false" ht="18" hidden="false" customHeight="true" outlineLevel="0" collapsed="false">
      <c r="B17" s="2"/>
      <c r="C17" s="2"/>
      <c r="D17" s="2"/>
      <c r="E17" s="2"/>
      <c r="F17" s="2"/>
      <c r="G17" s="2"/>
      <c r="H17" s="86"/>
      <c r="I17" s="2"/>
      <c r="J17" s="2"/>
      <c r="O17" s="2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D17" s="62"/>
      <c r="AE17" s="62"/>
      <c r="AF17" s="62"/>
      <c r="AG17" s="62"/>
      <c r="AH17" s="62"/>
      <c r="AS17" s="153"/>
      <c r="AT17" s="153"/>
      <c r="AU17" s="153"/>
      <c r="AV17" s="153"/>
      <c r="AW17" s="153"/>
    </row>
    <row r="18" customFormat="false" ht="39.75" hidden="false" customHeight="true" outlineLevel="0" collapsed="false">
      <c r="B18" s="53" t="s">
        <v>30</v>
      </c>
      <c r="C18" s="88" t="str">
        <f aca="false">'Base Blumenau'!C20</f>
        <v>Oficial de Manutenção Predial</v>
      </c>
      <c r="D18" s="88" t="str">
        <f aca="false">'Base Blumenau'!D20</f>
        <v>Ajudante (ref. SINAPI/88241)</v>
      </c>
      <c r="E18" s="154" t="str">
        <f aca="false">'Base Blumenau'!E20</f>
        <v>Eletrotécnico (ref. SINAPI/88266)</v>
      </c>
      <c r="N18" s="155"/>
      <c r="O18" s="156"/>
      <c r="R18" s="89"/>
      <c r="V18" s="156"/>
      <c r="Z18" s="89"/>
      <c r="AA18" s="89"/>
      <c r="AB18" s="89"/>
      <c r="AC18" s="89"/>
      <c r="AD18" s="89"/>
      <c r="AE18" s="89"/>
      <c r="AF18" s="89"/>
    </row>
    <row r="19" customFormat="false" ht="18" hidden="false" customHeight="true" outlineLevel="0" collapsed="false">
      <c r="B19" s="53"/>
      <c r="C19" s="31" t="n">
        <f aca="false">'Base Blumenau'!C21</f>
        <v>31.1027690909091</v>
      </c>
      <c r="D19" s="31" t="n">
        <f aca="false">'Base Blumenau'!D21</f>
        <v>23.41</v>
      </c>
      <c r="E19" s="31" t="n">
        <f aca="false">'Base Blumenau'!E21</f>
        <v>41.08</v>
      </c>
      <c r="N19" s="155"/>
      <c r="O19" s="156"/>
    </row>
    <row r="20" customFormat="false" ht="40.5" hidden="false" customHeight="true" outlineLevel="0" collapsed="false">
      <c r="B20" s="57" t="str">
        <f aca="false">'Base Blumenau'!B22</f>
        <v>* Tabela SINAPI Janeiro/2025 (Desonerado)</v>
      </c>
      <c r="N20" s="156"/>
      <c r="O20" s="156"/>
    </row>
    <row r="21" customFormat="false" ht="14.25" hidden="false" customHeight="false" outlineLevel="0" collapsed="false">
      <c r="N21" s="156"/>
      <c r="O21" s="156"/>
    </row>
    <row r="22" customFormat="false" ht="14.25" hidden="false" customHeight="false" outlineLevel="0" collapsed="false">
      <c r="N22" s="156"/>
      <c r="O22" s="156"/>
    </row>
    <row r="23" customFormat="false" ht="15.75" hidden="false" customHeight="true" outlineLevel="0" collapsed="false">
      <c r="N23" s="156"/>
      <c r="O23" s="156"/>
    </row>
    <row r="24" customFormat="false" ht="14.25" hidden="false" customHeight="false" outlineLevel="0" collapsed="false">
      <c r="N24" s="156"/>
      <c r="O24" s="156"/>
    </row>
    <row r="25" customFormat="false" ht="14.25" hidden="false" customHeight="false" outlineLevel="0" collapsed="false">
      <c r="N25" s="156"/>
      <c r="O25" s="156"/>
    </row>
    <row r="26" customFormat="false" ht="14.25" hidden="false" customHeight="false" outlineLevel="0" collapsed="false">
      <c r="N26" s="156"/>
      <c r="O26" s="156"/>
    </row>
    <row r="27" customFormat="false" ht="14.25" hidden="false" customHeight="false" outlineLevel="0" collapsed="false">
      <c r="N27" s="156"/>
      <c r="O27" s="156"/>
    </row>
    <row r="28" customFormat="false" ht="14.25" hidden="false" customHeight="false" outlineLevel="0" collapsed="false">
      <c r="N28" s="156"/>
      <c r="O28" s="156"/>
    </row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6:AJ16"/>
    <mergeCell ref="B18:B19"/>
    <mergeCell ref="N18:N19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5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5" activeCellId="0" sqref="B3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91" width="12.62"/>
    <col collapsed="false" customWidth="true" hidden="false" outlineLevel="0" max="3" min="3" style="91" width="32.62"/>
    <col collapsed="false" customWidth="true" hidden="false" outlineLevel="0" max="16" min="4" style="91" width="9.62"/>
    <col collapsed="false" customWidth="true" hidden="false" outlineLevel="0" max="17" min="17" style="91" width="10.26"/>
    <col collapsed="false" customWidth="true" hidden="false" outlineLevel="0" max="18" min="18" style="91" width="12.25"/>
    <col collapsed="false" customWidth="true" hidden="false" outlineLevel="0" max="19" min="19" style="91" width="14.75"/>
    <col collapsed="false" customWidth="true" hidden="false" outlineLevel="0" max="66" min="20" style="91" width="10.75"/>
    <col collapsed="false" customWidth="true" hidden="false" outlineLevel="0" max="257" min="67" style="90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5" t="str">
        <f aca="false">"DESLOCAMENTO BASE "&amp;Resumo!B6</f>
        <v>DESLOCAMENTO BASE JOINVILLE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customFormat="false" ht="15" hidden="false" customHeight="true" outlineLevel="0" collapsed="false"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customFormat="false" ht="38.25" hidden="false" customHeight="false" outlineLevel="0" collapsed="false">
      <c r="B4" s="28" t="s">
        <v>102</v>
      </c>
      <c r="C4" s="28" t="str">
        <f aca="false">"Rota (saída e retorno "&amp;Resumo!B6&amp;")"</f>
        <v>Rota (saída e retorno JOINVILLE)</v>
      </c>
      <c r="D4" s="28" t="s">
        <v>103</v>
      </c>
      <c r="E4" s="28" t="s">
        <v>104</v>
      </c>
      <c r="F4" s="28" t="s">
        <v>105</v>
      </c>
      <c r="G4" s="28" t="s">
        <v>106</v>
      </c>
      <c r="H4" s="28" t="s">
        <v>107</v>
      </c>
      <c r="I4" s="28" t="s">
        <v>108</v>
      </c>
      <c r="J4" s="28" t="s">
        <v>109</v>
      </c>
      <c r="K4" s="28" t="s">
        <v>110</v>
      </c>
      <c r="L4" s="28" t="s">
        <v>111</v>
      </c>
      <c r="M4" s="93" t="s">
        <v>140</v>
      </c>
      <c r="N4" s="28" t="s">
        <v>113</v>
      </c>
      <c r="O4" s="28" t="s">
        <v>114</v>
      </c>
      <c r="P4" s="28" t="s">
        <v>115</v>
      </c>
      <c r="Q4" s="28" t="s">
        <v>67</v>
      </c>
      <c r="R4" s="38" t="s">
        <v>116</v>
      </c>
      <c r="S4" s="38" t="s">
        <v>117</v>
      </c>
    </row>
    <row r="5" customFormat="false" ht="15.75" hidden="false" customHeight="true" outlineLevel="0" collapsed="false">
      <c r="B5" s="56" t="n">
        <v>1</v>
      </c>
      <c r="C5" s="157" t="s">
        <v>138</v>
      </c>
      <c r="D5" s="158" t="n">
        <v>3.1</v>
      </c>
      <c r="E5" s="158" t="n">
        <v>3.1</v>
      </c>
      <c r="F5" s="158" t="n">
        <v>0</v>
      </c>
      <c r="G5" s="99" t="n">
        <f aca="false">SUM(D5:F5)</f>
        <v>6.2</v>
      </c>
      <c r="H5" s="158" t="n">
        <v>6</v>
      </c>
      <c r="I5" s="158" t="n">
        <v>6</v>
      </c>
      <c r="J5" s="158" t="n">
        <v>0</v>
      </c>
      <c r="K5" s="99" t="n">
        <f aca="false">SUM(H5:J5)</f>
        <v>12</v>
      </c>
      <c r="L5" s="99" t="n">
        <f aca="false">K5/60</f>
        <v>0.2</v>
      </c>
      <c r="M5" s="105" t="n">
        <v>0</v>
      </c>
      <c r="N5" s="98" t="n">
        <v>2</v>
      </c>
      <c r="O5" s="118" t="n">
        <f aca="false">L5/N5</f>
        <v>0.1</v>
      </c>
      <c r="P5" s="104" t="n">
        <f aca="false">M5/N5</f>
        <v>0</v>
      </c>
      <c r="Q5" s="104" t="n">
        <v>0</v>
      </c>
      <c r="R5" s="105" t="str">
        <f aca="false">INDEX('Base Joinville'!$K$7:$K$25,MATCH(C5,'Base Joinville'!$B$7:$B$25,0))</f>
        <v>SIM</v>
      </c>
      <c r="S5" s="106" t="n">
        <v>1</v>
      </c>
    </row>
    <row r="6" customFormat="false" ht="15.75" hidden="false" customHeight="true" outlineLevel="0" collapsed="false">
      <c r="B6" s="56"/>
      <c r="C6" s="157" t="s">
        <v>139</v>
      </c>
      <c r="D6" s="158"/>
      <c r="E6" s="158"/>
      <c r="F6" s="158"/>
      <c r="G6" s="99"/>
      <c r="H6" s="158"/>
      <c r="I6" s="158"/>
      <c r="J6" s="158"/>
      <c r="K6" s="99"/>
      <c r="L6" s="99"/>
      <c r="M6" s="105"/>
      <c r="N6" s="98"/>
      <c r="O6" s="159" t="n">
        <f aca="false">O5</f>
        <v>0.1</v>
      </c>
      <c r="P6" s="114" t="n">
        <f aca="false">P5</f>
        <v>0</v>
      </c>
      <c r="Q6" s="114" t="n">
        <f aca="false">Q5</f>
        <v>0</v>
      </c>
      <c r="R6" s="105" t="str">
        <f aca="false">INDEX('Base Joinville'!$K$7:$K$25,MATCH(C6,'Base Joinville'!$B$7:$B$25,0))</f>
        <v>SIM</v>
      </c>
      <c r="S6" s="106" t="n">
        <v>1</v>
      </c>
    </row>
    <row r="7" customFormat="false" ht="15.75" hidden="false" customHeight="true" outlineLevel="0" collapsed="false">
      <c r="B7" s="56" t="n">
        <v>2</v>
      </c>
      <c r="C7" s="157" t="s">
        <v>134</v>
      </c>
      <c r="D7" s="158" t="n">
        <v>136</v>
      </c>
      <c r="E7" s="158" t="n">
        <v>2.3</v>
      </c>
      <c r="F7" s="158" t="n">
        <v>140</v>
      </c>
      <c r="G7" s="99" t="n">
        <f aca="false">SUM(D7:F7)</f>
        <v>278.3</v>
      </c>
      <c r="H7" s="158" t="n">
        <v>132</v>
      </c>
      <c r="I7" s="158" t="n">
        <v>5</v>
      </c>
      <c r="J7" s="158" t="n">
        <v>139</v>
      </c>
      <c r="K7" s="99" t="n">
        <f aca="false">SUM(H7:J7)</f>
        <v>276</v>
      </c>
      <c r="L7" s="99" t="n">
        <f aca="false">K7/60</f>
        <v>4.6</v>
      </c>
      <c r="M7" s="105" t="n">
        <v>0</v>
      </c>
      <c r="N7" s="98" t="n">
        <v>2</v>
      </c>
      <c r="O7" s="118" t="n">
        <f aca="false">L7/N7</f>
        <v>2.3</v>
      </c>
      <c r="P7" s="104" t="n">
        <f aca="false">M7/N7</f>
        <v>0</v>
      </c>
      <c r="Q7" s="104" t="n">
        <v>0</v>
      </c>
      <c r="R7" s="105" t="str">
        <f aca="false">INDEX('Base Joinville'!$K$7:$K$25,MATCH(C7,'Base Joinville'!$B$7:$B$25,0))</f>
        <v>NÃO</v>
      </c>
      <c r="S7" s="106" t="n">
        <v>0</v>
      </c>
    </row>
    <row r="8" customFormat="false" ht="15.75" hidden="false" customHeight="true" outlineLevel="0" collapsed="false">
      <c r="B8" s="56"/>
      <c r="C8" s="157" t="s">
        <v>135</v>
      </c>
      <c r="D8" s="158"/>
      <c r="E8" s="158"/>
      <c r="F8" s="158"/>
      <c r="G8" s="99"/>
      <c r="H8" s="158"/>
      <c r="I8" s="158"/>
      <c r="J8" s="158"/>
      <c r="K8" s="99"/>
      <c r="L8" s="99"/>
      <c r="M8" s="105"/>
      <c r="N8" s="98"/>
      <c r="O8" s="159" t="n">
        <f aca="false">O7</f>
        <v>2.3</v>
      </c>
      <c r="P8" s="114" t="n">
        <f aca="false">P7</f>
        <v>0</v>
      </c>
      <c r="Q8" s="114" t="n">
        <f aca="false">Q7</f>
        <v>0</v>
      </c>
      <c r="R8" s="105" t="str">
        <f aca="false">INDEX('Base Joinville'!$K$7:$K$25,MATCH(C8,'Base Joinville'!$B$7:$B$25,0))</f>
        <v>NÃO</v>
      </c>
      <c r="S8" s="106" t="n">
        <v>0</v>
      </c>
    </row>
    <row r="9" customFormat="false" ht="15.75" hidden="false" customHeight="true" outlineLevel="0" collapsed="false">
      <c r="B9" s="56" t="n">
        <v>3</v>
      </c>
      <c r="C9" s="157" t="s">
        <v>132</v>
      </c>
      <c r="D9" s="158" t="n">
        <v>39.1</v>
      </c>
      <c r="E9" s="158" t="n">
        <v>9.9</v>
      </c>
      <c r="F9" s="158" t="n">
        <v>50.7</v>
      </c>
      <c r="G9" s="99" t="n">
        <f aca="false">SUM(D9:F9)</f>
        <v>99.7</v>
      </c>
      <c r="H9" s="158" t="n">
        <v>40</v>
      </c>
      <c r="I9" s="158" t="n">
        <v>12</v>
      </c>
      <c r="J9" s="158" t="n">
        <v>50</v>
      </c>
      <c r="K9" s="99" t="n">
        <f aca="false">SUM(H9:J9)</f>
        <v>102</v>
      </c>
      <c r="L9" s="99" t="n">
        <f aca="false">K9/60</f>
        <v>1.7</v>
      </c>
      <c r="M9" s="105" t="n">
        <v>0</v>
      </c>
      <c r="N9" s="98" t="n">
        <v>2</v>
      </c>
      <c r="O9" s="118" t="n">
        <f aca="false">L9/N9</f>
        <v>0.85</v>
      </c>
      <c r="P9" s="104" t="n">
        <f aca="false">M9/N9</f>
        <v>0</v>
      </c>
      <c r="Q9" s="104" t="n">
        <v>0</v>
      </c>
      <c r="R9" s="105" t="str">
        <f aca="false">INDEX('Base Joinville'!$K$7:$K$25,MATCH(C9,'Base Joinville'!$B$7:$B$25,0))</f>
        <v>NÃO</v>
      </c>
      <c r="S9" s="106" t="n">
        <v>1</v>
      </c>
    </row>
    <row r="10" customFormat="false" ht="15.75" hidden="false" customHeight="true" outlineLevel="0" collapsed="false">
      <c r="B10" s="56"/>
      <c r="C10" s="157" t="s">
        <v>133</v>
      </c>
      <c r="D10" s="158"/>
      <c r="E10" s="158"/>
      <c r="F10" s="158"/>
      <c r="G10" s="99"/>
      <c r="H10" s="158"/>
      <c r="I10" s="158"/>
      <c r="J10" s="158"/>
      <c r="K10" s="99"/>
      <c r="L10" s="99"/>
      <c r="M10" s="105" t="n">
        <v>0</v>
      </c>
      <c r="N10" s="98"/>
      <c r="O10" s="159" t="n">
        <f aca="false">O9</f>
        <v>0.85</v>
      </c>
      <c r="P10" s="114" t="n">
        <f aca="false">P9</f>
        <v>0</v>
      </c>
      <c r="Q10" s="114" t="n">
        <f aca="false">Q9</f>
        <v>0</v>
      </c>
      <c r="R10" s="105" t="str">
        <f aca="false">INDEX('Base Joinville'!$K$7:$K$25,MATCH(C10,'Base Joinville'!$B$7:$B$25,0))</f>
        <v>SIM</v>
      </c>
      <c r="S10" s="106" t="n">
        <v>1</v>
      </c>
    </row>
    <row r="11" customFormat="false" ht="15.75" hidden="false" customHeight="true" outlineLevel="0" collapsed="false">
      <c r="B11" s="56" t="n">
        <v>4</v>
      </c>
      <c r="C11" s="157" t="s">
        <v>131</v>
      </c>
      <c r="D11" s="158" t="n">
        <v>196</v>
      </c>
      <c r="E11" s="158" t="n">
        <v>126</v>
      </c>
      <c r="F11" s="158" t="n">
        <v>78.3</v>
      </c>
      <c r="G11" s="99" t="n">
        <f aca="false">SUM(D11:F11)</f>
        <v>400.3</v>
      </c>
      <c r="H11" s="158" t="n">
        <v>177</v>
      </c>
      <c r="I11" s="158" t="n">
        <v>117</v>
      </c>
      <c r="J11" s="158" t="n">
        <v>79</v>
      </c>
      <c r="K11" s="99" t="n">
        <f aca="false">SUM(H11:J11)</f>
        <v>373</v>
      </c>
      <c r="L11" s="99" t="n">
        <f aca="false">K11/60</f>
        <v>6.21666666666667</v>
      </c>
      <c r="M11" s="105" t="n">
        <v>0</v>
      </c>
      <c r="N11" s="98" t="n">
        <v>2</v>
      </c>
      <c r="O11" s="118" t="n">
        <f aca="false">L11/N11</f>
        <v>3.10833333333333</v>
      </c>
      <c r="P11" s="104" t="n">
        <f aca="false">M11/N11</f>
        <v>0</v>
      </c>
      <c r="Q11" s="104" t="n">
        <f aca="false">(E33/N11)*2</f>
        <v>139.4</v>
      </c>
      <c r="R11" s="105" t="str">
        <f aca="false">INDEX('Base Joinville'!$K$7:$K$25,MATCH(C11,'Base Joinville'!$B$7:$B$25,0))</f>
        <v>SIM</v>
      </c>
      <c r="S11" s="106" t="n">
        <v>1</v>
      </c>
    </row>
    <row r="12" customFormat="false" ht="15.75" hidden="false" customHeight="true" outlineLevel="0" collapsed="false">
      <c r="B12" s="56"/>
      <c r="C12" s="157" t="s">
        <v>136</v>
      </c>
      <c r="D12" s="158"/>
      <c r="E12" s="158"/>
      <c r="F12" s="158"/>
      <c r="G12" s="99"/>
      <c r="H12" s="158"/>
      <c r="I12" s="158"/>
      <c r="J12" s="158"/>
      <c r="K12" s="99"/>
      <c r="L12" s="99"/>
      <c r="M12" s="105"/>
      <c r="N12" s="98"/>
      <c r="O12" s="159" t="n">
        <f aca="false">O11</f>
        <v>3.10833333333333</v>
      </c>
      <c r="P12" s="114" t="n">
        <f aca="false">P11</f>
        <v>0</v>
      </c>
      <c r="Q12" s="114" t="n">
        <f aca="false">Q11</f>
        <v>139.4</v>
      </c>
      <c r="R12" s="105" t="str">
        <f aca="false">INDEX('Base Joinville'!$K$7:$K$25,MATCH(C12,'Base Joinville'!$B$7:$B$25,0))</f>
        <v>SIM</v>
      </c>
      <c r="S12" s="106" t="n">
        <v>1</v>
      </c>
    </row>
    <row r="13" customFormat="false" ht="15.75" hidden="false" customHeight="true" outlineLevel="0" collapsed="false">
      <c r="B13" s="56" t="n">
        <v>5</v>
      </c>
      <c r="C13" s="157" t="s">
        <v>137</v>
      </c>
      <c r="D13" s="158" t="n">
        <v>50.9</v>
      </c>
      <c r="E13" s="158" t="n">
        <v>52.7</v>
      </c>
      <c r="F13" s="158" t="n">
        <v>0</v>
      </c>
      <c r="G13" s="99" t="n">
        <f aca="false">SUM(D13:F13)</f>
        <v>103.6</v>
      </c>
      <c r="H13" s="158" t="n">
        <v>59</v>
      </c>
      <c r="I13" s="158" t="n">
        <v>55</v>
      </c>
      <c r="J13" s="158" t="n">
        <v>0</v>
      </c>
      <c r="K13" s="99" t="n">
        <f aca="false">SUM(H13:J13)</f>
        <v>114</v>
      </c>
      <c r="L13" s="99" t="n">
        <f aca="false">K13/60</f>
        <v>1.9</v>
      </c>
      <c r="M13" s="100" t="n">
        <v>0</v>
      </c>
      <c r="N13" s="160" t="n">
        <v>1</v>
      </c>
      <c r="O13" s="99" t="n">
        <f aca="false">L13/N13</f>
        <v>1.9</v>
      </c>
      <c r="P13" s="119" t="n">
        <f aca="false">M13/N13</f>
        <v>0</v>
      </c>
      <c r="Q13" s="100" t="n">
        <v>0</v>
      </c>
      <c r="R13" s="105" t="str">
        <f aca="false">INDEX('Base Joinville'!$K$7:$K$25,MATCH(C13,'Base Joinville'!$B$7:$B$25,0))</f>
        <v>NÃO</v>
      </c>
      <c r="S13" s="106" t="n">
        <v>0</v>
      </c>
    </row>
    <row r="14" customFormat="false" ht="21" hidden="false" customHeight="true" outlineLevel="0" collapsed="false">
      <c r="B14" s="123" t="s">
        <v>98</v>
      </c>
      <c r="C14" s="123"/>
      <c r="D14" s="123"/>
      <c r="E14" s="123"/>
      <c r="F14" s="123"/>
      <c r="G14" s="124" t="n">
        <f aca="false">SUM(G5:G13)</f>
        <v>888.1</v>
      </c>
      <c r="H14" s="124" t="s">
        <v>98</v>
      </c>
      <c r="I14" s="124"/>
      <c r="J14" s="124"/>
      <c r="K14" s="124" t="n">
        <f aca="false">SUM(K5:K13)</f>
        <v>877</v>
      </c>
      <c r="L14" s="124" t="n">
        <f aca="false">SUM(L5:L13)</f>
        <v>14.6166666666667</v>
      </c>
      <c r="M14" s="126" t="n">
        <f aca="false">SUM(M5:M13)</f>
        <v>0</v>
      </c>
      <c r="N14" s="161" t="n">
        <f aca="false">SUM(N5:N13)</f>
        <v>9</v>
      </c>
      <c r="O14" s="124" t="n">
        <f aca="false">SUM(O5:O13)</f>
        <v>14.6166666666667</v>
      </c>
      <c r="P14" s="162" t="n">
        <f aca="false">SUM(P5:P13)</f>
        <v>0</v>
      </c>
      <c r="Q14" s="162" t="n">
        <f aca="false">SUM(Q5:Q13)</f>
        <v>278.8</v>
      </c>
      <c r="R14" s="126"/>
      <c r="S14" s="127"/>
    </row>
    <row r="15" customFormat="false" ht="15.75" hidden="false" customHeight="true" outlineLevel="0" collapsed="false">
      <c r="B15" s="130"/>
      <c r="C15" s="130"/>
      <c r="D15" s="130"/>
      <c r="E15" s="130"/>
      <c r="F15" s="90"/>
      <c r="G15" s="90"/>
      <c r="H15" s="90"/>
      <c r="I15" s="90"/>
      <c r="J15" s="90"/>
      <c r="K15" s="90"/>
      <c r="L15" s="90"/>
      <c r="M15" s="90"/>
      <c r="N15" s="90"/>
    </row>
    <row r="16" customFormat="false" ht="18.75" hidden="false" customHeight="true" outlineLevel="0" collapsed="false">
      <c r="B16" s="131" t="s">
        <v>118</v>
      </c>
      <c r="C16" s="131"/>
      <c r="D16" s="131"/>
      <c r="E16" s="131"/>
      <c r="F16" s="130"/>
      <c r="G16" s="130"/>
      <c r="H16" s="130"/>
      <c r="I16" s="130"/>
      <c r="J16" s="130"/>
      <c r="K16" s="130"/>
      <c r="L16" s="130"/>
      <c r="M16" s="130"/>
      <c r="N16" s="130"/>
    </row>
    <row r="17" customFormat="false" ht="18.75" hidden="false" customHeight="true" outlineLevel="0" collapsed="false">
      <c r="B17" s="163" t="s">
        <v>119</v>
      </c>
      <c r="C17" s="163" t="s">
        <v>120</v>
      </c>
      <c r="D17" s="163" t="s">
        <v>121</v>
      </c>
      <c r="E17" s="163" t="s">
        <v>122</v>
      </c>
      <c r="F17" s="130"/>
      <c r="G17" s="132"/>
      <c r="H17" s="132"/>
      <c r="I17" s="130"/>
      <c r="J17" s="130"/>
      <c r="K17" s="130"/>
      <c r="L17" s="130"/>
      <c r="M17" s="130"/>
      <c r="N17" s="130"/>
    </row>
    <row r="18" customFormat="false" ht="18.75" hidden="false" customHeight="true" outlineLevel="0" collapsed="false">
      <c r="B18" s="56" t="s">
        <v>123</v>
      </c>
      <c r="C18" s="134" t="s">
        <v>124</v>
      </c>
      <c r="D18" s="56" t="s">
        <v>125</v>
      </c>
      <c r="E18" s="135" t="n">
        <f aca="false">'Desl. Base Blumenau'!E20</f>
        <v>54.43</v>
      </c>
      <c r="F18" s="130"/>
      <c r="G18" s="136"/>
      <c r="H18" s="164"/>
      <c r="I18" s="130"/>
      <c r="J18" s="130"/>
      <c r="K18" s="165"/>
      <c r="L18" s="165"/>
    </row>
    <row r="19" customFormat="false" ht="18.75" hidden="false" customHeight="true" outlineLevel="0" collapsed="false">
      <c r="B19" s="115" t="s">
        <v>126</v>
      </c>
      <c r="C19" s="137" t="s">
        <v>124</v>
      </c>
      <c r="D19" s="115" t="s">
        <v>127</v>
      </c>
      <c r="E19" s="138" t="n">
        <f aca="false">'Desl. Base Blumenau'!E21</f>
        <v>6.56</v>
      </c>
      <c r="F19" s="130"/>
      <c r="G19" s="136"/>
      <c r="H19" s="136"/>
      <c r="I19" s="130"/>
      <c r="J19" s="130"/>
      <c r="K19" s="165"/>
      <c r="L19" s="165"/>
    </row>
    <row r="20" customFormat="false" ht="47.25" hidden="false" customHeight="true" outlineLevel="0" collapsed="false">
      <c r="B20" s="139" t="s">
        <v>128</v>
      </c>
      <c r="C20" s="139"/>
      <c r="D20" s="139"/>
      <c r="E20" s="139"/>
      <c r="F20" s="140"/>
      <c r="G20" s="140"/>
      <c r="H20" s="140"/>
      <c r="I20" s="140"/>
      <c r="J20" s="140"/>
      <c r="K20" s="140"/>
      <c r="L20" s="165"/>
    </row>
    <row r="21" customFormat="false" ht="18.75" hidden="false" customHeight="true" outlineLevel="0" collapsed="false">
      <c r="B21" s="141"/>
      <c r="C21" s="141"/>
      <c r="D21" s="141"/>
      <c r="E21" s="141"/>
      <c r="F21" s="140"/>
      <c r="G21" s="140"/>
      <c r="H21" s="140"/>
      <c r="I21" s="140"/>
      <c r="J21" s="140"/>
      <c r="K21" s="140"/>
      <c r="L21" s="165"/>
    </row>
    <row r="22" customFormat="false" ht="15.75" hidden="false" customHeight="true" outlineLevel="0" collapsed="false">
      <c r="B22" s="131" t="s">
        <v>129</v>
      </c>
      <c r="C22" s="131"/>
      <c r="D22" s="130"/>
      <c r="E22" s="130"/>
      <c r="F22" s="130"/>
      <c r="G22" s="130"/>
      <c r="H22" s="130"/>
      <c r="I22" s="130"/>
      <c r="J22" s="130"/>
      <c r="K22" s="130"/>
      <c r="L22" s="130"/>
    </row>
    <row r="23" customFormat="false" ht="15.75" hidden="false" customHeight="true" outlineLevel="0" collapsed="false">
      <c r="B23" s="166" t="s">
        <v>125</v>
      </c>
      <c r="C23" s="167" t="n">
        <f aca="false">E18*L14</f>
        <v>795.585166666667</v>
      </c>
      <c r="D23" s="130"/>
      <c r="E23" s="130"/>
      <c r="F23" s="130"/>
      <c r="G23" s="130"/>
      <c r="H23" s="130"/>
      <c r="I23" s="130"/>
      <c r="J23" s="130"/>
    </row>
    <row r="24" customFormat="false" ht="15.75" hidden="false" customHeight="true" outlineLevel="0" collapsed="false">
      <c r="B24" s="56" t="s">
        <v>127</v>
      </c>
      <c r="C24" s="135" t="n">
        <f aca="false">E19*('Base Joinville'!N16/12)</f>
        <v>202.075333333333</v>
      </c>
      <c r="D24" s="130"/>
      <c r="E24" s="130"/>
      <c r="F24" s="130"/>
      <c r="G24" s="130"/>
      <c r="H24" s="130"/>
      <c r="I24" s="130"/>
      <c r="J24" s="130"/>
    </row>
    <row r="25" customFormat="false" ht="15.75" hidden="false" customHeight="true" outlineLevel="0" collapsed="false">
      <c r="B25" s="142" t="s">
        <v>28</v>
      </c>
      <c r="C25" s="143" t="n">
        <f aca="false">C23+C24</f>
        <v>997.6605</v>
      </c>
      <c r="D25" s="130"/>
      <c r="E25" s="130"/>
      <c r="F25" s="130"/>
      <c r="G25" s="130"/>
      <c r="H25" s="130"/>
      <c r="I25" s="90"/>
      <c r="J25" s="90"/>
    </row>
    <row r="26" customFormat="false" ht="15.75" hidden="false" customHeight="true" outlineLevel="0" collapsed="false">
      <c r="B26" s="168"/>
      <c r="C26" s="168"/>
      <c r="D26" s="130"/>
      <c r="H26" s="90"/>
      <c r="I26" s="90"/>
    </row>
    <row r="27" customFormat="false" ht="15.75" hidden="false" customHeight="true" outlineLevel="0" collapsed="false">
      <c r="B27" s="145" t="s">
        <v>130</v>
      </c>
      <c r="C27" s="145"/>
      <c r="D27" s="130"/>
      <c r="H27" s="90"/>
      <c r="I27" s="90"/>
    </row>
    <row r="28" customFormat="false" ht="15.75" hidden="false" customHeight="true" outlineLevel="0" collapsed="false">
      <c r="B28" s="163" t="s">
        <v>122</v>
      </c>
      <c r="C28" s="147" t="n">
        <f aca="false">SUM(M5:M13)</f>
        <v>0</v>
      </c>
      <c r="I28" s="130"/>
    </row>
    <row r="29" customFormat="false" ht="14.25" hidden="false" customHeight="false" outlineLevel="0" collapsed="false">
      <c r="B29" s="90"/>
      <c r="C29" s="90"/>
      <c r="D29" s="90"/>
    </row>
    <row r="30" customFormat="false" ht="14.25" hidden="false" customHeight="false" outlineLevel="0" collapsed="false">
      <c r="B30" s="136"/>
      <c r="C30" s="130"/>
      <c r="D30" s="130"/>
    </row>
    <row r="31" customFormat="false" ht="14.25" hidden="false" customHeight="false" outlineLevel="0" collapsed="false">
      <c r="B31" s="169" t="s">
        <v>67</v>
      </c>
      <c r="C31" s="169"/>
      <c r="D31" s="169"/>
      <c r="E31" s="169"/>
    </row>
    <row r="32" customFormat="false" ht="14.25" hidden="false" customHeight="false" outlineLevel="0" collapsed="false">
      <c r="B32" s="163" t="s">
        <v>141</v>
      </c>
      <c r="C32" s="163" t="s">
        <v>120</v>
      </c>
      <c r="D32" s="163" t="s">
        <v>121</v>
      </c>
      <c r="E32" s="163" t="s">
        <v>122</v>
      </c>
    </row>
    <row r="33" customFormat="false" ht="25.5" hidden="false" customHeight="false" outlineLevel="0" collapsed="false">
      <c r="B33" s="115" t="s">
        <v>142</v>
      </c>
      <c r="C33" s="170" t="s">
        <v>143</v>
      </c>
      <c r="D33" s="115" t="s">
        <v>144</v>
      </c>
      <c r="E33" s="171" t="n">
        <v>139.4</v>
      </c>
    </row>
    <row r="34" customFormat="false" ht="14.25" hidden="false" customHeight="false" outlineLevel="0" collapsed="false">
      <c r="B34" s="172" t="s">
        <v>145</v>
      </c>
      <c r="C34" s="172"/>
      <c r="D34" s="172"/>
      <c r="E34" s="172"/>
    </row>
    <row r="35" customFormat="false" ht="14.25" hidden="false" customHeight="false" outlineLevel="0" collapsed="false">
      <c r="B35" s="168"/>
      <c r="C35" s="130"/>
      <c r="D35" s="173"/>
    </row>
    <row r="36" customFormat="false" ht="14.25" hidden="false" customHeight="false" outlineLevel="0" collapsed="false">
      <c r="B36" s="90"/>
      <c r="C36" s="90"/>
      <c r="D36" s="90"/>
    </row>
    <row r="37" customFormat="false" ht="14.25" hidden="false" customHeight="false" outlineLevel="0" collapsed="false">
      <c r="B37" s="174"/>
      <c r="C37" s="90"/>
      <c r="D37" s="90"/>
    </row>
    <row r="38" customFormat="false" ht="14.25" hidden="false" customHeight="false" outlineLevel="0" collapsed="false">
      <c r="B38" s="136"/>
      <c r="C38" s="130"/>
      <c r="D38" s="130"/>
    </row>
    <row r="39" customFormat="false" ht="14.25" hidden="false" customHeight="false" outlineLevel="0" collapsed="false">
      <c r="B39" s="168"/>
      <c r="C39" s="130"/>
      <c r="D39" s="130"/>
    </row>
    <row r="40" customFormat="false" ht="14.25" hidden="false" customHeight="false" outlineLevel="0" collapsed="false">
      <c r="B40" s="130"/>
      <c r="C40" s="130"/>
      <c r="D40" s="136"/>
    </row>
    <row r="41" customFormat="false" ht="14.25" hidden="false" customHeight="false" outlineLevel="0" collapsed="false">
      <c r="B41" s="130"/>
      <c r="C41" s="130"/>
      <c r="D41" s="136"/>
    </row>
    <row r="42" customFormat="false" ht="14.25" hidden="false" customHeight="false" outlineLevel="0" collapsed="false">
      <c r="B42" s="168"/>
      <c r="C42" s="130"/>
      <c r="D42" s="173"/>
    </row>
    <row r="43" customFormat="false" ht="14.25" hidden="false" customHeight="false" outlineLevel="0" collapsed="false">
      <c r="B43" s="90"/>
      <c r="C43" s="90"/>
      <c r="D43" s="90"/>
    </row>
    <row r="44" customFormat="false" ht="14.25" hidden="false" customHeight="false" outlineLevel="0" collapsed="false">
      <c r="B44" s="174"/>
      <c r="C44" s="90"/>
      <c r="D44" s="90"/>
    </row>
    <row r="45" customFormat="false" ht="14.25" hidden="false" customHeight="false" outlineLevel="0" collapsed="false">
      <c r="B45" s="136"/>
      <c r="C45" s="130"/>
      <c r="D45" s="130"/>
    </row>
    <row r="46" customFormat="false" ht="14.25" hidden="false" customHeight="false" outlineLevel="0" collapsed="false">
      <c r="B46" s="168"/>
      <c r="C46" s="130"/>
      <c r="D46" s="130"/>
    </row>
    <row r="47" customFormat="false" ht="14.25" hidden="false" customHeight="false" outlineLevel="0" collapsed="false">
      <c r="B47" s="130"/>
      <c r="C47" s="130"/>
      <c r="D47" s="136"/>
    </row>
    <row r="48" customFormat="false" ht="14.25" hidden="false" customHeight="false" outlineLevel="0" collapsed="false">
      <c r="B48" s="130"/>
      <c r="C48" s="130"/>
      <c r="D48" s="136"/>
    </row>
    <row r="49" customFormat="false" ht="14.25" hidden="false" customHeight="false" outlineLevel="0" collapsed="false">
      <c r="B49" s="168"/>
      <c r="C49" s="130"/>
      <c r="D49" s="173"/>
    </row>
    <row r="50" customFormat="false" ht="14.25" hidden="false" customHeight="false" outlineLevel="0" collapsed="false">
      <c r="B50" s="90"/>
      <c r="C50" s="90"/>
      <c r="D50" s="90"/>
    </row>
    <row r="51" customFormat="false" ht="14.25" hidden="false" customHeight="false" outlineLevel="0" collapsed="false">
      <c r="B51" s="174"/>
      <c r="C51" s="90"/>
      <c r="D51" s="90"/>
    </row>
    <row r="52" customFormat="false" ht="14.25" hidden="false" customHeight="false" outlineLevel="0" collapsed="false">
      <c r="B52" s="136"/>
      <c r="C52" s="130"/>
      <c r="D52" s="130"/>
    </row>
    <row r="53" customFormat="false" ht="14.25" hidden="false" customHeight="false" outlineLevel="0" collapsed="false">
      <c r="B53" s="168"/>
      <c r="C53" s="130"/>
      <c r="D53" s="130"/>
    </row>
    <row r="54" customFormat="false" ht="14.25" hidden="false" customHeight="false" outlineLevel="0" collapsed="false">
      <c r="B54" s="130"/>
      <c r="C54" s="130"/>
      <c r="D54" s="136"/>
    </row>
    <row r="55" customFormat="false" ht="14.25" hidden="false" customHeight="false" outlineLevel="0" collapsed="false">
      <c r="B55" s="130"/>
      <c r="C55" s="130"/>
      <c r="D55" s="136"/>
    </row>
    <row r="56" customFormat="false" ht="14.25" hidden="false" customHeight="false" outlineLevel="0" collapsed="false">
      <c r="B56" s="130"/>
      <c r="C56" s="130"/>
      <c r="D56" s="136"/>
    </row>
    <row r="57" customFormat="false" ht="14.25" hidden="false" customHeight="false" outlineLevel="0" collapsed="false">
      <c r="B57" s="168"/>
      <c r="C57" s="130"/>
      <c r="D57" s="173"/>
    </row>
  </sheetData>
  <mergeCells count="57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4:F14"/>
    <mergeCell ref="H14:J14"/>
    <mergeCell ref="B16:E16"/>
    <mergeCell ref="B20:E20"/>
    <mergeCell ref="B22:C22"/>
    <mergeCell ref="B27:C27"/>
    <mergeCell ref="B31:E31"/>
    <mergeCell ref="B34:E34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4" activeCellId="0" sqref="H34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5" t="s">
        <v>146</v>
      </c>
      <c r="C2" s="175"/>
      <c r="D2" s="175"/>
      <c r="E2" s="175"/>
      <c r="F2" s="175"/>
      <c r="G2" s="175"/>
      <c r="H2" s="175"/>
      <c r="I2" s="175"/>
    </row>
    <row r="3" customFormat="false" ht="21" hidden="false" customHeight="true" outlineLevel="0" collapsed="false"/>
    <row r="4" customFormat="false" ht="16.5" hidden="false" customHeight="true" outlineLevel="0" collapsed="false">
      <c r="B4" s="176" t="s">
        <v>147</v>
      </c>
      <c r="C4" s="176"/>
      <c r="D4" s="176"/>
      <c r="E4" s="176"/>
      <c r="F4" s="176"/>
      <c r="G4" s="176"/>
      <c r="H4" s="176"/>
      <c r="I4" s="176"/>
    </row>
    <row r="5" customFormat="false" ht="16.5" hidden="false" customHeight="true" outlineLevel="0" collapsed="false">
      <c r="B5" s="177" t="s">
        <v>148</v>
      </c>
      <c r="C5" s="177"/>
      <c r="D5" s="178" t="s">
        <v>149</v>
      </c>
      <c r="E5" s="178"/>
      <c r="F5" s="178"/>
      <c r="G5" s="178"/>
      <c r="H5" s="178"/>
      <c r="I5" s="178"/>
    </row>
    <row r="6" customFormat="false" ht="16.5" hidden="false" customHeight="true" outlineLevel="0" collapsed="false">
      <c r="B6" s="177" t="s">
        <v>120</v>
      </c>
      <c r="C6" s="177"/>
      <c r="D6" s="178" t="s">
        <v>150</v>
      </c>
      <c r="E6" s="178"/>
      <c r="F6" s="178"/>
      <c r="G6" s="178"/>
      <c r="H6" s="178"/>
      <c r="I6" s="178"/>
    </row>
    <row r="7" customFormat="false" ht="16.5" hidden="false" customHeight="true" outlineLevel="0" collapsed="false">
      <c r="B7" s="177" t="s">
        <v>151</v>
      </c>
      <c r="C7" s="177"/>
      <c r="D7" s="179" t="s">
        <v>152</v>
      </c>
      <c r="E7" s="179"/>
      <c r="F7" s="179"/>
      <c r="G7" s="179"/>
      <c r="H7" s="179"/>
      <c r="I7" s="179"/>
    </row>
    <row r="8" customFormat="false" ht="16.5" hidden="false" customHeight="true" outlineLevel="0" collapsed="false">
      <c r="B8" s="177" t="s">
        <v>153</v>
      </c>
      <c r="C8" s="177"/>
      <c r="D8" s="178" t="s">
        <v>154</v>
      </c>
      <c r="E8" s="178"/>
      <c r="F8" s="178"/>
      <c r="G8" s="178"/>
      <c r="H8" s="178"/>
      <c r="I8" s="178"/>
    </row>
    <row r="9" customFormat="false" ht="16.5" hidden="false" customHeight="true" outlineLevel="0" collapsed="false">
      <c r="B9" s="177" t="s">
        <v>155</v>
      </c>
      <c r="C9" s="177"/>
      <c r="D9" s="178" t="s">
        <v>156</v>
      </c>
      <c r="E9" s="178"/>
      <c r="F9" s="178"/>
      <c r="G9" s="178"/>
      <c r="H9" s="178"/>
      <c r="I9" s="178"/>
    </row>
    <row r="10" customFormat="false" ht="16.5" hidden="false" customHeight="true" outlineLevel="0" collapsed="false">
      <c r="B10" s="177" t="s">
        <v>121</v>
      </c>
      <c r="C10" s="177"/>
      <c r="D10" s="178" t="s">
        <v>125</v>
      </c>
      <c r="E10" s="178"/>
      <c r="F10" s="178"/>
      <c r="G10" s="178"/>
      <c r="H10" s="178"/>
      <c r="I10" s="178"/>
    </row>
    <row r="11" customFormat="false" ht="23.25" hidden="false" customHeight="true" outlineLevel="0" collapsed="false">
      <c r="B11" s="177" t="s">
        <v>157</v>
      </c>
      <c r="C11" s="177"/>
      <c r="D11" s="180" t="n">
        <f aca="false">SUM(I14:I18)</f>
        <v>54.43</v>
      </c>
      <c r="E11" s="180"/>
      <c r="F11" s="180"/>
      <c r="G11" s="180"/>
      <c r="H11" s="180"/>
      <c r="I11" s="180"/>
    </row>
    <row r="12" customFormat="false" ht="15.75" hidden="false" customHeight="true" outlineLevel="0" collapsed="false">
      <c r="B12" s="181"/>
      <c r="C12" s="181"/>
      <c r="D12" s="182"/>
      <c r="E12" s="182"/>
      <c r="F12" s="182"/>
      <c r="G12" s="182"/>
      <c r="H12" s="182"/>
      <c r="I12" s="182"/>
    </row>
    <row r="13" customFormat="false" ht="29.25" hidden="false" customHeight="true" outlineLevel="0" collapsed="false">
      <c r="B13" s="183"/>
      <c r="C13" s="183" t="s">
        <v>158</v>
      </c>
      <c r="D13" s="183" t="s">
        <v>120</v>
      </c>
      <c r="E13" s="183" t="s">
        <v>155</v>
      </c>
      <c r="F13" s="183" t="s">
        <v>121</v>
      </c>
      <c r="G13" s="184" t="s">
        <v>159</v>
      </c>
      <c r="H13" s="183" t="s">
        <v>160</v>
      </c>
      <c r="I13" s="183" t="s">
        <v>161</v>
      </c>
    </row>
    <row r="14" customFormat="false" ht="27.75" hidden="false" customHeight="true" outlineLevel="0" collapsed="false">
      <c r="B14" s="185" t="s">
        <v>162</v>
      </c>
      <c r="C14" s="185" t="s">
        <v>163</v>
      </c>
      <c r="D14" s="186" t="s">
        <v>164</v>
      </c>
      <c r="E14" s="186" t="s">
        <v>156</v>
      </c>
      <c r="F14" s="185" t="s">
        <v>165</v>
      </c>
      <c r="G14" s="187" t="n">
        <v>4.58</v>
      </c>
      <c r="H14" s="188" t="n">
        <v>1</v>
      </c>
      <c r="I14" s="187" t="n">
        <f aca="false">G14*H14</f>
        <v>4.58</v>
      </c>
    </row>
    <row r="15" customFormat="false" ht="27.75" hidden="false" customHeight="true" outlineLevel="0" collapsed="false">
      <c r="B15" s="185" t="s">
        <v>162</v>
      </c>
      <c r="C15" s="185" t="s">
        <v>166</v>
      </c>
      <c r="D15" s="186" t="s">
        <v>167</v>
      </c>
      <c r="E15" s="186" t="s">
        <v>156</v>
      </c>
      <c r="F15" s="185" t="s">
        <v>165</v>
      </c>
      <c r="G15" s="187" t="n">
        <v>1.41</v>
      </c>
      <c r="H15" s="188" t="n">
        <v>1</v>
      </c>
      <c r="I15" s="187" t="n">
        <f aca="false">G15*H15</f>
        <v>1.41</v>
      </c>
    </row>
    <row r="16" customFormat="false" ht="42" hidden="false" customHeight="true" outlineLevel="0" collapsed="false">
      <c r="B16" s="185" t="s">
        <v>162</v>
      </c>
      <c r="C16" s="185" t="s">
        <v>168</v>
      </c>
      <c r="D16" s="186" t="s">
        <v>169</v>
      </c>
      <c r="E16" s="186" t="s">
        <v>156</v>
      </c>
      <c r="F16" s="185" t="s">
        <v>165</v>
      </c>
      <c r="G16" s="187" t="n">
        <v>0.57</v>
      </c>
      <c r="H16" s="188" t="n">
        <v>1</v>
      </c>
      <c r="I16" s="187" t="n">
        <f aca="false">G16*H16</f>
        <v>0.57</v>
      </c>
    </row>
    <row r="17" customFormat="false" ht="27.75" hidden="false" customHeight="true" outlineLevel="0" collapsed="false">
      <c r="B17" s="185" t="s">
        <v>162</v>
      </c>
      <c r="C17" s="185" t="s">
        <v>170</v>
      </c>
      <c r="D17" s="186" t="s">
        <v>171</v>
      </c>
      <c r="E17" s="186" t="s">
        <v>156</v>
      </c>
      <c r="F17" s="185" t="s">
        <v>165</v>
      </c>
      <c r="G17" s="187" t="n">
        <v>5.73</v>
      </c>
      <c r="H17" s="188" t="n">
        <v>1</v>
      </c>
      <c r="I17" s="187" t="n">
        <f aca="false">G17*H17</f>
        <v>5.73</v>
      </c>
    </row>
    <row r="18" customFormat="false" ht="42" hidden="false" customHeight="true" outlineLevel="0" collapsed="false">
      <c r="B18" s="185" t="s">
        <v>162</v>
      </c>
      <c r="C18" s="185" t="s">
        <v>172</v>
      </c>
      <c r="D18" s="186" t="s">
        <v>173</v>
      </c>
      <c r="E18" s="186" t="s">
        <v>156</v>
      </c>
      <c r="F18" s="185" t="s">
        <v>165</v>
      </c>
      <c r="G18" s="187" t="n">
        <v>42.14</v>
      </c>
      <c r="H18" s="188" t="n">
        <v>1</v>
      </c>
      <c r="I18" s="187" t="n">
        <f aca="false">G18*H18</f>
        <v>42.14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75" t="s">
        <v>174</v>
      </c>
      <c r="C20" s="175"/>
      <c r="D20" s="175"/>
      <c r="E20" s="175"/>
      <c r="F20" s="175"/>
      <c r="G20" s="175"/>
      <c r="H20" s="175"/>
      <c r="I20" s="175"/>
    </row>
    <row r="21" customFormat="false" ht="16.5" hidden="false" customHeight="true" outlineLevel="0" collapsed="false">
      <c r="B21" s="177" t="s">
        <v>148</v>
      </c>
      <c r="C21" s="177"/>
      <c r="D21" s="178" t="s">
        <v>175</v>
      </c>
      <c r="E21" s="178"/>
      <c r="F21" s="178"/>
      <c r="G21" s="178"/>
      <c r="H21" s="178"/>
      <c r="I21" s="178"/>
    </row>
    <row r="22" customFormat="false" ht="16.5" hidden="false" customHeight="true" outlineLevel="0" collapsed="false">
      <c r="B22" s="177" t="s">
        <v>120</v>
      </c>
      <c r="C22" s="177"/>
      <c r="D22" s="178" t="s">
        <v>176</v>
      </c>
      <c r="E22" s="178"/>
      <c r="F22" s="178"/>
      <c r="G22" s="178"/>
      <c r="H22" s="178"/>
      <c r="I22" s="178"/>
    </row>
    <row r="23" customFormat="false" ht="16.5" hidden="false" customHeight="true" outlineLevel="0" collapsed="false">
      <c r="B23" s="177" t="s">
        <v>151</v>
      </c>
      <c r="C23" s="177"/>
      <c r="D23" s="179" t="s">
        <v>152</v>
      </c>
      <c r="E23" s="179"/>
      <c r="F23" s="179"/>
      <c r="G23" s="179"/>
      <c r="H23" s="179"/>
      <c r="I23" s="179"/>
    </row>
    <row r="24" customFormat="false" ht="16.5" hidden="false" customHeight="true" outlineLevel="0" collapsed="false">
      <c r="B24" s="177" t="s">
        <v>153</v>
      </c>
      <c r="C24" s="177"/>
      <c r="D24" s="178" t="s">
        <v>154</v>
      </c>
      <c r="E24" s="178"/>
      <c r="F24" s="178"/>
      <c r="G24" s="178"/>
      <c r="H24" s="178"/>
      <c r="I24" s="178"/>
    </row>
    <row r="25" customFormat="false" ht="16.5" hidden="false" customHeight="true" outlineLevel="0" collapsed="false">
      <c r="B25" s="177" t="s">
        <v>155</v>
      </c>
      <c r="C25" s="177"/>
      <c r="D25" s="178" t="s">
        <v>156</v>
      </c>
      <c r="E25" s="178"/>
      <c r="F25" s="178"/>
      <c r="G25" s="178"/>
      <c r="H25" s="178"/>
      <c r="I25" s="178"/>
    </row>
    <row r="26" customFormat="false" ht="16.5" hidden="false" customHeight="true" outlineLevel="0" collapsed="false">
      <c r="B26" s="177" t="s">
        <v>121</v>
      </c>
      <c r="C26" s="177"/>
      <c r="D26" s="178" t="s">
        <v>127</v>
      </c>
      <c r="E26" s="178"/>
      <c r="F26" s="178"/>
      <c r="G26" s="178"/>
      <c r="H26" s="178"/>
      <c r="I26" s="178"/>
    </row>
    <row r="27" customFormat="false" ht="23.25" hidden="false" customHeight="true" outlineLevel="0" collapsed="false">
      <c r="B27" s="177" t="s">
        <v>161</v>
      </c>
      <c r="C27" s="177"/>
      <c r="D27" s="189" t="n">
        <f aca="false">SUM(I30:I32)</f>
        <v>6.56</v>
      </c>
      <c r="E27" s="189"/>
      <c r="F27" s="189"/>
      <c r="G27" s="189"/>
      <c r="H27" s="189"/>
      <c r="I27" s="189"/>
    </row>
    <row r="28" customFormat="false" ht="15.75" hidden="false" customHeight="true" outlineLevel="0" collapsed="false">
      <c r="B28" s="181"/>
      <c r="C28" s="181"/>
      <c r="D28" s="182"/>
      <c r="E28" s="182"/>
      <c r="F28" s="182"/>
      <c r="G28" s="182"/>
      <c r="H28" s="182"/>
      <c r="I28" s="182"/>
    </row>
    <row r="29" customFormat="false" ht="29.25" hidden="false" customHeight="true" outlineLevel="0" collapsed="false">
      <c r="B29" s="183"/>
      <c r="C29" s="183" t="s">
        <v>158</v>
      </c>
      <c r="D29" s="183" t="s">
        <v>120</v>
      </c>
      <c r="E29" s="183" t="s">
        <v>155</v>
      </c>
      <c r="F29" s="183" t="s">
        <v>121</v>
      </c>
      <c r="G29" s="184" t="s">
        <v>159</v>
      </c>
      <c r="H29" s="183" t="s">
        <v>160</v>
      </c>
      <c r="I29" s="183" t="s">
        <v>161</v>
      </c>
    </row>
    <row r="30" customFormat="false" ht="27.75" hidden="false" customHeight="true" outlineLevel="0" collapsed="false">
      <c r="B30" s="185" t="s">
        <v>162</v>
      </c>
      <c r="C30" s="185" t="s">
        <v>163</v>
      </c>
      <c r="D30" s="186" t="s">
        <v>164</v>
      </c>
      <c r="E30" s="186" t="s">
        <v>156</v>
      </c>
      <c r="F30" s="185" t="s">
        <v>165</v>
      </c>
      <c r="G30" s="187" t="n">
        <v>4.58</v>
      </c>
      <c r="H30" s="188" t="n">
        <v>1</v>
      </c>
      <c r="I30" s="187" t="n">
        <f aca="false">G30*H30</f>
        <v>4.58</v>
      </c>
    </row>
    <row r="31" customFormat="false" ht="27.75" hidden="false" customHeight="true" outlineLevel="0" collapsed="false">
      <c r="B31" s="185" t="s">
        <v>162</v>
      </c>
      <c r="C31" s="185" t="s">
        <v>166</v>
      </c>
      <c r="D31" s="186" t="s">
        <v>167</v>
      </c>
      <c r="E31" s="186" t="s">
        <v>156</v>
      </c>
      <c r="F31" s="185" t="s">
        <v>165</v>
      </c>
      <c r="G31" s="187" t="n">
        <v>1.41</v>
      </c>
      <c r="H31" s="188" t="n">
        <v>1</v>
      </c>
      <c r="I31" s="187" t="n">
        <f aca="false">G31*H31</f>
        <v>1.41</v>
      </c>
    </row>
    <row r="32" customFormat="false" ht="42" hidden="false" customHeight="true" outlineLevel="0" collapsed="false">
      <c r="B32" s="185" t="s">
        <v>162</v>
      </c>
      <c r="C32" s="185" t="s">
        <v>168</v>
      </c>
      <c r="D32" s="186" t="s">
        <v>169</v>
      </c>
      <c r="E32" s="186" t="s">
        <v>156</v>
      </c>
      <c r="F32" s="185" t="s">
        <v>165</v>
      </c>
      <c r="G32" s="187" t="n">
        <v>0.57</v>
      </c>
      <c r="H32" s="188" t="n">
        <v>1</v>
      </c>
      <c r="I32" s="187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10.50390625" defaultRowHeight="14.25" zeroHeight="false" outlineLevelRow="0" outlineLevelCol="0"/>
  <cols>
    <col collapsed="false" customWidth="true" hidden="false" outlineLevel="0" max="1" min="1" style="190" width="5.26"/>
    <col collapsed="false" customWidth="true" hidden="false" outlineLevel="0" max="2" min="2" style="190" width="35"/>
    <col collapsed="false" customWidth="true" hidden="false" outlineLevel="0" max="3" min="3" style="190" width="28.88"/>
    <col collapsed="false" customWidth="true" hidden="false" outlineLevel="0" max="4" min="4" style="190" width="15.62"/>
    <col collapsed="false" customWidth="true" hidden="false" outlineLevel="0" max="5" min="5" style="190" width="7.76"/>
    <col collapsed="false" customWidth="false" hidden="false" outlineLevel="0" max="6" min="6" style="190" width="10.5"/>
  </cols>
  <sheetData>
    <row r="1" customFormat="false" ht="15" hidden="false" customHeight="true" outlineLevel="0" collapsed="false"/>
    <row r="2" customFormat="false" ht="15" hidden="false" customHeight="true" outlineLevel="0" collapsed="false">
      <c r="C2" s="191" t="s">
        <v>177</v>
      </c>
    </row>
    <row r="3" customFormat="false" ht="15" hidden="false" customHeight="true" outlineLevel="0" collapsed="false">
      <c r="B3" s="192" t="s">
        <v>178</v>
      </c>
      <c r="C3" s="191" t="s">
        <v>179</v>
      </c>
    </row>
    <row r="4" customFormat="false" ht="15" hidden="false" customHeight="true" outlineLevel="0" collapsed="false">
      <c r="B4" s="192" t="s">
        <v>180</v>
      </c>
      <c r="C4" s="193" t="s">
        <v>181</v>
      </c>
    </row>
    <row r="5" customFormat="false" ht="15" hidden="false" customHeight="true" outlineLevel="0" collapsed="false">
      <c r="B5" s="192" t="s">
        <v>182</v>
      </c>
      <c r="C5" s="193" t="n">
        <v>45658</v>
      </c>
    </row>
    <row r="6" customFormat="false" ht="15" hidden="false" customHeight="true" outlineLevel="0" collapsed="false">
      <c r="B6" s="192" t="s">
        <v>183</v>
      </c>
      <c r="C6" s="194" t="n">
        <v>78.48</v>
      </c>
    </row>
    <row r="7" customFormat="false" ht="14.25" hidden="false" customHeight="false" outlineLevel="0" collapsed="false">
      <c r="B7" s="195"/>
      <c r="C7" s="196"/>
    </row>
    <row r="8" customFormat="false" ht="27.75" hidden="false" customHeight="true" outlineLevel="0" collapsed="false">
      <c r="B8" s="197" t="s">
        <v>184</v>
      </c>
      <c r="C8" s="198" t="s">
        <v>185</v>
      </c>
    </row>
    <row r="9" customFormat="false" ht="15" hidden="false" customHeight="true" outlineLevel="0" collapsed="false">
      <c r="B9" s="192" t="s">
        <v>186</v>
      </c>
      <c r="C9" s="199" t="n">
        <v>0.9254</v>
      </c>
    </row>
    <row r="10" customFormat="false" ht="15" hidden="false" customHeight="true" outlineLevel="0" collapsed="false">
      <c r="B10" s="192" t="s">
        <v>187</v>
      </c>
      <c r="C10" s="199" t="n">
        <v>1.156</v>
      </c>
    </row>
    <row r="11" customFormat="false" ht="13.5" hidden="false" customHeight="true" outlineLevel="0" collapsed="false">
      <c r="B11" s="195"/>
      <c r="C11" s="195"/>
    </row>
    <row r="12" customFormat="false" ht="15" hidden="false" customHeight="true" outlineLevel="0" collapsed="false">
      <c r="B12" s="200" t="s">
        <v>188</v>
      </c>
      <c r="C12" s="201"/>
    </row>
    <row r="13" customFormat="false" ht="15" hidden="false" customHeight="true" outlineLevel="0" collapsed="false">
      <c r="B13" s="192" t="s">
        <v>189</v>
      </c>
      <c r="C13" s="202" t="n">
        <f aca="false">C6*(1+C9)</f>
        <v>151.105392</v>
      </c>
      <c r="D13" s="203"/>
      <c r="F13" s="204"/>
    </row>
    <row r="14" customFormat="false" ht="15" hidden="false" customHeight="true" outlineLevel="0" collapsed="false">
      <c r="B14" s="192" t="s">
        <v>190</v>
      </c>
      <c r="C14" s="202" t="n">
        <f aca="false">C6*(1+C10)</f>
        <v>169.20288</v>
      </c>
      <c r="D14" s="203"/>
      <c r="F14" s="204"/>
    </row>
    <row r="16" customFormat="false" ht="42" hidden="false" customHeight="true" outlineLevel="0" collapsed="false">
      <c r="B16" s="205" t="s">
        <v>191</v>
      </c>
      <c r="C16" s="205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392CEE-69CF-4F25-B03D-C1938F31BD94}"/>
</file>

<file path=customXml/itemProps2.xml><?xml version="1.0" encoding="utf-8"?>
<ds:datastoreItem xmlns:ds="http://schemas.openxmlformats.org/officeDocument/2006/customXml" ds:itemID="{EAD106CC-019D-44EE-AC9E-E67E68AF04EB}"/>
</file>

<file path=customXml/itemProps3.xml><?xml version="1.0" encoding="utf-8"?>
<ds:datastoreItem xmlns:ds="http://schemas.openxmlformats.org/officeDocument/2006/customXml" ds:itemID="{139F7F34-D406-4184-8BB4-9B8888ECBAC3}"/>
</file>

<file path=customXml/itemProps4.xml><?xml version="1.0" encoding="utf-8"?>
<ds:datastoreItem xmlns:ds="http://schemas.openxmlformats.org/officeDocument/2006/customXml" ds:itemID="{FC4B2CA4-A8A1-48C7-A904-87EA600F2082}"/>
</file>

<file path=customXml/itemProps5.xml><?xml version="1.0" encoding="utf-8"?>
<ds:datastoreItem xmlns:ds="http://schemas.openxmlformats.org/officeDocument/2006/customXml" ds:itemID="{841F9655-4FF4-4790-9011-C51A4B5C545C}"/>
</file>

<file path=customXml/itemProps6.xml><?xml version="1.0" encoding="utf-8"?>
<ds:datastoreItem xmlns:ds="http://schemas.openxmlformats.org/officeDocument/2006/customXml" ds:itemID="{901D9EDC-3DB0-48F0-AB25-9C8AF99C3531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54</cp:revision>
  <dcterms:created xsi:type="dcterms:W3CDTF">2022-02-01T12:05:24Z</dcterms:created>
  <dcterms:modified xsi:type="dcterms:W3CDTF">2025-04-04T09:37:23Z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